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embeddings/oleObject41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20.bin" ContentType="application/vnd.openxmlformats-officedocument.oleObject"/>
  <Default Extension="emf" ContentType="image/x-emf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embeddings/oleObject39.bin" ContentType="application/vnd.openxmlformats-officedocument.oleObject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  <Override PartName="/xl/embeddings/oleObject40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1355" windowHeight="5895" tabRatio="288"/>
  </bookViews>
  <sheets>
    <sheet name="Example 15-8-suction" sheetId="1" r:id="rId1"/>
    <sheet name="Example 15-8 -discharge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79" i="2"/>
  <c r="J82"/>
  <c r="J83" s="1"/>
  <c r="J81"/>
  <c r="J71"/>
  <c r="J70"/>
  <c r="J69"/>
  <c r="J68"/>
  <c r="H114"/>
  <c r="D115"/>
  <c r="D114"/>
  <c r="H93"/>
  <c r="D94"/>
  <c r="D93"/>
  <c r="G45"/>
  <c r="D42"/>
  <c r="D41"/>
  <c r="H114" i="1"/>
  <c r="D115"/>
  <c r="D114"/>
  <c r="D93"/>
  <c r="D94" s="1"/>
  <c r="H93"/>
  <c r="R60" i="2"/>
  <c r="P60"/>
  <c r="R59"/>
  <c r="P59"/>
  <c r="R58"/>
  <c r="P58"/>
  <c r="D52" i="1"/>
  <c r="D52" i="2"/>
  <c r="D108"/>
  <c r="D116" s="1"/>
  <c r="D104"/>
  <c r="D107" s="1"/>
  <c r="D87"/>
  <c r="J93" s="1"/>
  <c r="D82"/>
  <c r="D86" s="1"/>
  <c r="D33"/>
  <c r="D34" s="1"/>
  <c r="D32"/>
  <c r="D30"/>
  <c r="D31" s="1"/>
  <c r="F31" s="1"/>
  <c r="D29"/>
  <c r="F24"/>
  <c r="D16"/>
  <c r="D17" s="1"/>
  <c r="N60" i="1"/>
  <c r="O60" s="1"/>
  <c r="P60"/>
  <c r="Q60" s="1"/>
  <c r="R60"/>
  <c r="N61"/>
  <c r="O61" s="1"/>
  <c r="P61"/>
  <c r="Q61" s="1"/>
  <c r="R61"/>
  <c r="F24"/>
  <c r="D16"/>
  <c r="D17" s="1"/>
  <c r="D29"/>
  <c r="D108"/>
  <c r="D87"/>
  <c r="J93" s="1"/>
  <c r="D32"/>
  <c r="D104"/>
  <c r="D107" s="1"/>
  <c r="D82"/>
  <c r="D86" s="1"/>
  <c r="D30"/>
  <c r="D31" s="1"/>
  <c r="D42"/>
  <c r="D33"/>
  <c r="D34" s="1"/>
  <c r="S60" l="1"/>
  <c r="T60" i="2"/>
  <c r="T58"/>
  <c r="D43"/>
  <c r="D44" s="1"/>
  <c r="D45" s="1"/>
  <c r="D46" s="1"/>
  <c r="D47" s="1"/>
  <c r="D59" s="1"/>
  <c r="D117"/>
  <c r="D118" s="1"/>
  <c r="D119" s="1"/>
  <c r="D120" s="1"/>
  <c r="D105" s="1"/>
  <c r="D109"/>
  <c r="D88"/>
  <c r="T59"/>
  <c r="I45"/>
  <c r="J95"/>
  <c r="J96" s="1"/>
  <c r="J114"/>
  <c r="F52"/>
  <c r="H24"/>
  <c r="D95"/>
  <c r="D96" s="1"/>
  <c r="D97" s="1"/>
  <c r="D98" s="1"/>
  <c r="D99" s="1"/>
  <c r="D83" s="1"/>
  <c r="S61" i="1"/>
  <c r="H24"/>
  <c r="F31"/>
  <c r="D116"/>
  <c r="D117" s="1"/>
  <c r="D118" s="1"/>
  <c r="D119" s="1"/>
  <c r="D120" s="1"/>
  <c r="D105" s="1"/>
  <c r="J114"/>
  <c r="J116" s="1"/>
  <c r="J117" s="1"/>
  <c r="D109"/>
  <c r="D43"/>
  <c r="D44" s="1"/>
  <c r="D45" s="1"/>
  <c r="D46" s="1"/>
  <c r="D47" s="1"/>
  <c r="D95"/>
  <c r="D96" s="1"/>
  <c r="D97" s="1"/>
  <c r="D98" s="1"/>
  <c r="D99" s="1"/>
  <c r="D83" s="1"/>
  <c r="G45"/>
  <c r="S63"/>
  <c r="F52"/>
  <c r="I45"/>
  <c r="D88"/>
  <c r="J95"/>
  <c r="J96" s="1"/>
  <c r="T64" i="2" l="1"/>
  <c r="D60" s="1"/>
  <c r="D61" s="1"/>
  <c r="D62" s="1"/>
  <c r="D67" s="1"/>
  <c r="D68" s="1"/>
  <c r="D69" s="1"/>
  <c r="I47"/>
  <c r="I48" s="1"/>
  <c r="J116"/>
  <c r="J117" s="1"/>
  <c r="D64"/>
  <c r="D59" i="1"/>
  <c r="S66"/>
  <c r="D64"/>
  <c r="I47"/>
  <c r="I48" s="1"/>
  <c r="F62" i="2" l="1"/>
  <c r="D60" i="1"/>
  <c r="D61" s="1"/>
  <c r="D62" s="1"/>
  <c r="F67" i="2" l="1"/>
  <c r="D76"/>
  <c r="F76" s="1"/>
  <c r="F62" i="1"/>
  <c r="D67"/>
  <c r="D68" s="1"/>
  <c r="D69" s="1"/>
  <c r="D76" l="1"/>
  <c r="F76" s="1"/>
  <c r="F67"/>
</calcChain>
</file>

<file path=xl/sharedStrings.xml><?xml version="1.0" encoding="utf-8"?>
<sst xmlns="http://schemas.openxmlformats.org/spreadsheetml/2006/main" count="481" uniqueCount="194">
  <si>
    <t>e/3.7D=</t>
  </si>
  <si>
    <t>The spreadsheet program determines the pressure drop of process lines of incompressible fluids</t>
  </si>
  <si>
    <t>using equations described in the text. The input parameters are the physical properties such as:</t>
  </si>
  <si>
    <t xml:space="preserve">fluid's density, viscosity. Other parameters are:  Fluid's flow rate, (mass or volumetric), </t>
  </si>
  <si>
    <t xml:space="preserve">Nominal pipe size, d;  Pipe length,  L; Pipe roughness,   </t>
  </si>
  <si>
    <t>Fitting</t>
  </si>
  <si>
    <t>Threaded, standard</t>
  </si>
  <si>
    <t>r/D = 1</t>
  </si>
  <si>
    <t>Threaded, long radius</t>
  </si>
  <si>
    <t>r/D = 1.5</t>
  </si>
  <si>
    <t>Flanged, welded, bends</t>
  </si>
  <si>
    <t>Fitting Type</t>
  </si>
  <si>
    <r>
      <t>K</t>
    </r>
    <r>
      <rPr>
        <vertAlign val="subscript"/>
        <sz val="10"/>
        <rFont val="Arial"/>
        <family val="2"/>
      </rPr>
      <t>d</t>
    </r>
  </si>
  <si>
    <r>
      <t>K</t>
    </r>
    <r>
      <rPr>
        <vertAlign val="subscript"/>
        <sz val="10"/>
        <rFont val="Arial"/>
        <family val="2"/>
      </rPr>
      <t>m</t>
    </r>
  </si>
  <si>
    <t>Elbows 90 deg</t>
  </si>
  <si>
    <r>
      <t>K</t>
    </r>
    <r>
      <rPr>
        <vertAlign val="subscript"/>
        <sz val="10"/>
        <rFont val="Arial"/>
        <family val="2"/>
      </rPr>
      <t>i</t>
    </r>
  </si>
  <si>
    <t>r/D=1</t>
  </si>
  <si>
    <t>r/D=2</t>
  </si>
  <si>
    <t>r/D=4</t>
  </si>
  <si>
    <t>r/D=6</t>
  </si>
  <si>
    <t>Mitered</t>
  </si>
  <si>
    <t>1 weld, 90 deg</t>
  </si>
  <si>
    <t>2 welds, 45 deg</t>
  </si>
  <si>
    <t>3 welds, 30 deg</t>
  </si>
  <si>
    <t>Elbows 45 deg</t>
  </si>
  <si>
    <t>Long radius</t>
  </si>
  <si>
    <t>Mitered, 1 weld</t>
  </si>
  <si>
    <t>Mitered,  2 welds</t>
  </si>
  <si>
    <t>r/D=1.5</t>
  </si>
  <si>
    <t>45 deg</t>
  </si>
  <si>
    <t>22.5 deg</t>
  </si>
  <si>
    <t>Elbows</t>
  </si>
  <si>
    <t>Threaded,</t>
  </si>
  <si>
    <t>Close return bend</t>
  </si>
  <si>
    <t>180 deg</t>
  </si>
  <si>
    <t>Flanged</t>
  </si>
  <si>
    <t>All</t>
  </si>
  <si>
    <t>Tees</t>
  </si>
  <si>
    <t>Through-branch</t>
  </si>
  <si>
    <t>(as elbow)</t>
  </si>
  <si>
    <t>Threaded</t>
  </si>
  <si>
    <t>Stub-in-branch</t>
  </si>
  <si>
    <t>Run Through threaded</t>
  </si>
  <si>
    <t>Valves</t>
  </si>
  <si>
    <t>Angle valve-45 deg</t>
  </si>
  <si>
    <t xml:space="preserve">Full line size, </t>
  </si>
  <si>
    <t>Angle valve-  90 deg</t>
  </si>
  <si>
    <t>Globe valve</t>
  </si>
  <si>
    <t>Plug valve</t>
  </si>
  <si>
    <t xml:space="preserve">Standard, </t>
  </si>
  <si>
    <t>Branch flow</t>
  </si>
  <si>
    <t>Straight through</t>
  </si>
  <si>
    <t>Three way(flow thru)</t>
  </si>
  <si>
    <t>Gate valve</t>
  </si>
  <si>
    <t>Ball valve</t>
  </si>
  <si>
    <t>Diaphragm</t>
  </si>
  <si>
    <t>Dam-type</t>
  </si>
  <si>
    <t>Swing check</t>
  </si>
  <si>
    <t>Lift check</t>
  </si>
  <si>
    <t>NOTATIONS:</t>
  </si>
  <si>
    <t>FLUID PHASE:</t>
  </si>
  <si>
    <t>RESULTS</t>
  </si>
  <si>
    <t>SPECIFIC GRAVITY</t>
  </si>
  <si>
    <t>REYNOLDS NUMBER</t>
  </si>
  <si>
    <t>FLOW REGIME:</t>
  </si>
  <si>
    <t>CHEN'S FRICTION FACTOR</t>
  </si>
  <si>
    <t>(6.7/Re)^0.9</t>
  </si>
  <si>
    <t>A</t>
  </si>
  <si>
    <t>1/SQRT(FC)</t>
  </si>
  <si>
    <t>Fittings</t>
  </si>
  <si>
    <t>Number</t>
  </si>
  <si>
    <t>K1</t>
  </si>
  <si>
    <t>nK1</t>
  </si>
  <si>
    <t>Ki</t>
  </si>
  <si>
    <t>nKi</t>
  </si>
  <si>
    <t>Kd</t>
  </si>
  <si>
    <t>Kf</t>
  </si>
  <si>
    <t>Total</t>
  </si>
  <si>
    <t>Using Darby's 3-K Method</t>
  </si>
  <si>
    <t>FRICTION FACTOR, f =64/RE</t>
  </si>
  <si>
    <t>FOR LAMINAR FLOW REGIME:</t>
  </si>
  <si>
    <t>check valve</t>
  </si>
  <si>
    <t>NEXT SMALLER SIZE, in.:</t>
  </si>
  <si>
    <t>SMALLER SIZE VELOCITY,ft/sec.</t>
  </si>
  <si>
    <t>SMALL SIZE psi/100 ft.</t>
  </si>
  <si>
    <t>LARGER SIZE VELOCITY, ft/sec.</t>
  </si>
  <si>
    <t>LARGER SIZE psi/100 ft.</t>
  </si>
  <si>
    <t>&amp; SCHEDULE NUMBER:</t>
  </si>
  <si>
    <t>NEXT  LARGER SIZE, in.</t>
  </si>
  <si>
    <t>g</t>
  </si>
  <si>
    <t>Q</t>
  </si>
  <si>
    <t>SpGr</t>
  </si>
  <si>
    <t>G</t>
  </si>
  <si>
    <t>L</t>
  </si>
  <si>
    <t>psi</t>
  </si>
  <si>
    <t>L/D=</t>
  </si>
  <si>
    <t>OTHER PIPE SIZE CONFIGURATIONS</t>
  </si>
  <si>
    <t>THE TOTAL PRESSURE LOSS AT THE SUCTION</t>
  </si>
  <si>
    <t>ACCELERATION DUE TO GRAVITY</t>
  </si>
  <si>
    <r>
      <t>DARCY FRICTION FACTOR, f</t>
    </r>
    <r>
      <rPr>
        <vertAlign val="subscript"/>
        <sz val="10"/>
        <rFont val="Arial"/>
        <family val="2"/>
      </rPr>
      <t>D</t>
    </r>
  </si>
  <si>
    <r>
      <t>CHEN'S FRICTION FACTOR, f</t>
    </r>
    <r>
      <rPr>
        <b/>
        <vertAlign val="subscript"/>
        <sz val="10"/>
        <rFont val="Arial"/>
        <family val="2"/>
      </rPr>
      <t>C</t>
    </r>
    <r>
      <rPr>
        <b/>
        <sz val="10"/>
        <rFont val="Arial"/>
        <family val="2"/>
      </rPr>
      <t xml:space="preserve"> FOR TURBULENT FLOW</t>
    </r>
  </si>
  <si>
    <t>D,n</t>
  </si>
  <si>
    <r>
      <t>g</t>
    </r>
    <r>
      <rPr>
        <vertAlign val="subscript"/>
        <sz val="10"/>
        <rFont val="Arial"/>
        <family val="2"/>
      </rPr>
      <t>c</t>
    </r>
  </si>
  <si>
    <t>Square edged</t>
  </si>
  <si>
    <r>
      <t>VELOCITY HEAD, v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/2g, ft</t>
    </r>
  </si>
  <si>
    <r>
      <t>VELOCITY HEAD, v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/2g, ft.</t>
    </r>
  </si>
  <si>
    <t>A4=</t>
  </si>
  <si>
    <t>A5=</t>
  </si>
  <si>
    <t>Churchill  friction factor, f=</t>
  </si>
  <si>
    <t>Dn = nominal pipe diameter</t>
  </si>
  <si>
    <t>INTERNAL DIA.,  I.D., in.</t>
  </si>
  <si>
    <t>INTERNAL DIA. , ID., in.</t>
  </si>
  <si>
    <r>
      <t>Churchill friction factor, Fanning, f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 =</t>
    </r>
  </si>
  <si>
    <t>in.</t>
  </si>
  <si>
    <t>gpm</t>
  </si>
  <si>
    <t>cP</t>
  </si>
  <si>
    <t>ft.</t>
  </si>
  <si>
    <t>psig</t>
  </si>
  <si>
    <r>
      <t>ft</t>
    </r>
    <r>
      <rPr>
        <vertAlign val="superscript"/>
        <sz val="10"/>
        <rFont val="Arial"/>
        <family val="2"/>
      </rPr>
      <t>2</t>
    </r>
  </si>
  <si>
    <t>CONVERSION FACTOR</t>
  </si>
  <si>
    <t>PIPE ROUGHNESS</t>
  </si>
  <si>
    <t>PIPE ELEVATION</t>
  </si>
  <si>
    <t>PIPE LENGTH</t>
  </si>
  <si>
    <t>FLOW RATE</t>
  </si>
  <si>
    <t>DENSITY</t>
  </si>
  <si>
    <t>VISCOSITY</t>
  </si>
  <si>
    <t>ft</t>
  </si>
  <si>
    <t>psi/100ft</t>
  </si>
  <si>
    <t>ft/sec.</t>
  </si>
  <si>
    <t>lb/hr</t>
  </si>
  <si>
    <r>
      <t>ft/sec</t>
    </r>
    <r>
      <rPr>
        <vertAlign val="superscript"/>
        <sz val="10"/>
        <rFont val="Arial"/>
        <family val="2"/>
      </rPr>
      <t>2</t>
    </r>
  </si>
  <si>
    <r>
      <t>lb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>/lb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*(ft/sec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</si>
  <si>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STATIC PRESSURE:</t>
  </si>
  <si>
    <t>ft./sec.</t>
  </si>
  <si>
    <t>psi/100 ft.</t>
  </si>
  <si>
    <t>NOMINAL PIPE DIA.</t>
  </si>
  <si>
    <t>INTERNAL  PIPE DIA.</t>
  </si>
  <si>
    <t>VESSEL PRESSURE</t>
  </si>
  <si>
    <t>VELOCITY, v</t>
  </si>
  <si>
    <t>PIPE AREA, A</t>
  </si>
  <si>
    <t>PRESSURE DROP</t>
  </si>
  <si>
    <t>Exit</t>
  </si>
  <si>
    <t>90o Elbows</t>
  </si>
  <si>
    <t>T</t>
  </si>
  <si>
    <r>
      <rPr>
        <vertAlign val="superscript"/>
        <sz val="9"/>
        <rFont val="Arial"/>
        <family val="2"/>
      </rPr>
      <t>o</t>
    </r>
    <r>
      <rPr>
        <sz val="10"/>
        <rFont val="Arial"/>
        <family val="2"/>
      </rPr>
      <t>F</t>
    </r>
  </si>
  <si>
    <t>PUMPING TEMPERATURE</t>
  </si>
  <si>
    <t>Entrance to</t>
  </si>
  <si>
    <t>the tower</t>
  </si>
  <si>
    <t>Liquid</t>
  </si>
  <si>
    <t>Light Naphtha</t>
  </si>
  <si>
    <t>lbf - ft/lbm</t>
  </si>
  <si>
    <r>
      <t>VELOCITY HEAD, v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/2g</t>
    </r>
    <r>
      <rPr>
        <vertAlign val="subscript"/>
        <sz val="9"/>
        <rFont val="Arial"/>
        <family val="2"/>
      </rPr>
      <t>c</t>
    </r>
  </si>
  <si>
    <r>
      <t>K</t>
    </r>
    <r>
      <rPr>
        <vertAlign val="subscript"/>
        <sz val="14"/>
        <rFont val="Times New Roman"/>
        <family val="1"/>
      </rPr>
      <t>m</t>
    </r>
  </si>
  <si>
    <r>
      <t>K</t>
    </r>
    <r>
      <rPr>
        <vertAlign val="subscript"/>
        <sz val="14"/>
        <rFont val="Times New Roman"/>
        <family val="1"/>
      </rPr>
      <t>i</t>
    </r>
  </si>
  <si>
    <r>
      <t>K</t>
    </r>
    <r>
      <rPr>
        <vertAlign val="subscript"/>
        <sz val="14"/>
        <rFont val="Times New Roman"/>
        <family val="1"/>
      </rPr>
      <t>d</t>
    </r>
  </si>
  <si>
    <t>psia</t>
  </si>
  <si>
    <r>
      <t>90</t>
    </r>
    <r>
      <rPr>
        <vertAlign val="superscript"/>
        <sz val="14"/>
        <rFont val="Times New Roman"/>
        <family val="1"/>
      </rPr>
      <t>o</t>
    </r>
    <r>
      <rPr>
        <sz val="14"/>
        <rFont val="Times New Roman"/>
        <family val="1"/>
      </rPr>
      <t xml:space="preserve"> Ell(r/D=1.5)</t>
    </r>
  </si>
  <si>
    <t>The resistance coefficient for straight pipe, Kf</t>
  </si>
  <si>
    <t>Resistance due to fittings</t>
  </si>
  <si>
    <t>Total Resistance due to pipe + fittings</t>
  </si>
  <si>
    <t>HEAD LOSS DUE TO Pipe and  FITTINGS:</t>
  </si>
  <si>
    <t>Frictional loss due to pipe and fittings</t>
  </si>
  <si>
    <t>pisg</t>
  </si>
  <si>
    <t>Pressure at point 1, P1</t>
  </si>
  <si>
    <r>
      <t>lb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>/ft</t>
    </r>
    <r>
      <rPr>
        <vertAlign val="superscript"/>
        <sz val="10"/>
        <rFont val="Arial"/>
        <family val="2"/>
      </rPr>
      <t>3</t>
    </r>
  </si>
  <si>
    <r>
      <t>lb</t>
    </r>
    <r>
      <rPr>
        <vertAlign val="subscript"/>
        <sz val="14"/>
        <rFont val="Tmes new Roman"/>
      </rPr>
      <t>m</t>
    </r>
    <r>
      <rPr>
        <sz val="14"/>
        <rFont val="Tmes new Roman"/>
      </rPr>
      <t>/ft</t>
    </r>
    <r>
      <rPr>
        <vertAlign val="superscript"/>
        <sz val="14"/>
        <rFont val="Tmes new Roman"/>
      </rPr>
      <t>3</t>
    </r>
  </si>
  <si>
    <r>
      <t>ft/sec</t>
    </r>
    <r>
      <rPr>
        <vertAlign val="superscript"/>
        <sz val="14"/>
        <rFont val="Tmes new Roman"/>
      </rPr>
      <t>2</t>
    </r>
  </si>
  <si>
    <r>
      <t>g</t>
    </r>
    <r>
      <rPr>
        <vertAlign val="subscript"/>
        <sz val="14"/>
        <rFont val="Tmes new Roman"/>
      </rPr>
      <t>c</t>
    </r>
  </si>
  <si>
    <r>
      <t>lb</t>
    </r>
    <r>
      <rPr>
        <vertAlign val="subscript"/>
        <sz val="14"/>
        <rFont val="Tmes new Roman"/>
      </rPr>
      <t>m</t>
    </r>
    <r>
      <rPr>
        <sz val="14"/>
        <rFont val="Tmes new Roman"/>
      </rPr>
      <t>/lb</t>
    </r>
    <r>
      <rPr>
        <vertAlign val="subscript"/>
        <sz val="14"/>
        <rFont val="Tmes new Roman"/>
      </rPr>
      <t>f</t>
    </r>
    <r>
      <rPr>
        <sz val="14"/>
        <rFont val="Tmes new Roman"/>
      </rPr>
      <t>*(ft/sec</t>
    </r>
    <r>
      <rPr>
        <vertAlign val="superscript"/>
        <sz val="14"/>
        <rFont val="Tmes new Roman"/>
      </rPr>
      <t>2</t>
    </r>
    <r>
      <rPr>
        <sz val="14"/>
        <rFont val="Tmes new Roman"/>
      </rPr>
      <t>)</t>
    </r>
  </si>
  <si>
    <r>
      <rPr>
        <vertAlign val="superscript"/>
        <sz val="14"/>
        <rFont val="Tmes new Roman"/>
      </rPr>
      <t>o</t>
    </r>
    <r>
      <rPr>
        <sz val="14"/>
        <rFont val="Tmes new Roman"/>
      </rPr>
      <t>F</t>
    </r>
  </si>
  <si>
    <r>
      <t>ft</t>
    </r>
    <r>
      <rPr>
        <vertAlign val="superscript"/>
        <sz val="14"/>
        <rFont val="Tmes new Roman"/>
      </rPr>
      <t>2</t>
    </r>
  </si>
  <si>
    <r>
      <t>VELOCITY HEAD, v</t>
    </r>
    <r>
      <rPr>
        <vertAlign val="superscript"/>
        <sz val="14"/>
        <rFont val="Tmes new Roman"/>
      </rPr>
      <t>2</t>
    </r>
    <r>
      <rPr>
        <sz val="14"/>
        <rFont val="Tmes new Roman"/>
      </rPr>
      <t>/2g</t>
    </r>
    <r>
      <rPr>
        <vertAlign val="subscript"/>
        <sz val="14"/>
        <rFont val="Tmes new Roman"/>
      </rPr>
      <t>c</t>
    </r>
  </si>
  <si>
    <r>
      <t>CHEN'S FRICTION FACTOR, f</t>
    </r>
    <r>
      <rPr>
        <b/>
        <vertAlign val="subscript"/>
        <sz val="14"/>
        <rFont val="Tmes new Roman"/>
      </rPr>
      <t>C</t>
    </r>
    <r>
      <rPr>
        <b/>
        <sz val="14"/>
        <rFont val="Tmes new Roman"/>
      </rPr>
      <t xml:space="preserve"> FOR TURBULENT FLOW</t>
    </r>
  </si>
  <si>
    <r>
      <t>DARCY FRICTION FACTOR, f</t>
    </r>
    <r>
      <rPr>
        <vertAlign val="subscript"/>
        <sz val="14"/>
        <rFont val="Tmes new Roman"/>
      </rPr>
      <t>D</t>
    </r>
  </si>
  <si>
    <r>
      <t>Churchill friction factor, Fanning, f</t>
    </r>
    <r>
      <rPr>
        <vertAlign val="subscript"/>
        <sz val="14"/>
        <rFont val="Tmes new Roman"/>
      </rPr>
      <t>F</t>
    </r>
    <r>
      <rPr>
        <sz val="14"/>
        <rFont val="Tmes new Roman"/>
      </rPr>
      <t xml:space="preserve">  =</t>
    </r>
  </si>
  <si>
    <r>
      <t>VELOCITY HEAD, v</t>
    </r>
    <r>
      <rPr>
        <vertAlign val="superscript"/>
        <sz val="14"/>
        <rFont val="Tmes new Roman"/>
      </rPr>
      <t>2</t>
    </r>
    <r>
      <rPr>
        <sz val="14"/>
        <rFont val="Tmes new Roman"/>
      </rPr>
      <t>/2g, ft.</t>
    </r>
  </si>
  <si>
    <r>
      <t>VELOCITY HEAD, v</t>
    </r>
    <r>
      <rPr>
        <vertAlign val="superscript"/>
        <sz val="14"/>
        <rFont val="Tmes new Roman"/>
      </rPr>
      <t>2</t>
    </r>
    <r>
      <rPr>
        <sz val="14"/>
        <rFont val="Tmes new Roman"/>
      </rPr>
      <t>/2g, ft</t>
    </r>
  </si>
  <si>
    <t>Pressure at point 2, P2</t>
  </si>
  <si>
    <t>e/D</t>
  </si>
  <si>
    <t>e/3.7D</t>
  </si>
  <si>
    <t>and pipe fittngs</t>
  </si>
  <si>
    <t>Flowr rate, Q</t>
  </si>
  <si>
    <t>gal/min</t>
  </si>
  <si>
    <t>Delta P across pump</t>
  </si>
  <si>
    <t>Hydraulic horsepower</t>
  </si>
  <si>
    <t>hp</t>
  </si>
  <si>
    <t>Brake horsepower (ep=0.7)</t>
  </si>
  <si>
    <t>Pump Calculation</t>
  </si>
  <si>
    <t>In terms of Head.</t>
  </si>
  <si>
    <t>Head loss across pump</t>
  </si>
  <si>
    <t>hop</t>
  </si>
  <si>
    <t>ID</t>
  </si>
  <si>
    <t>Pressure drop calculations for incompressible fluids  of Example 15-8  by A.K. Coker</t>
  </si>
  <si>
    <t>Table 15-10. 3-K Constants for Loss Coefficients for Valves and Fittings (Darby, R [22])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</si>
</sst>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vertAlign val="subscript"/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vertAlign val="subscript"/>
      <sz val="9"/>
      <name val="Arial"/>
      <family val="2"/>
    </font>
    <font>
      <sz val="14"/>
      <name val="Times New Roman"/>
      <family val="1"/>
    </font>
    <font>
      <vertAlign val="subscript"/>
      <sz val="14"/>
      <name val="Times New Roman"/>
      <family val="1"/>
    </font>
    <font>
      <vertAlign val="superscript"/>
      <sz val="14"/>
      <name val="Times New Roman"/>
      <family val="1"/>
    </font>
    <font>
      <b/>
      <sz val="14"/>
      <name val="Tmes new Roman"/>
    </font>
    <font>
      <sz val="14"/>
      <name val="Tmes new Roman"/>
    </font>
    <font>
      <vertAlign val="subscript"/>
      <sz val="14"/>
      <name val="Tmes new Roman"/>
    </font>
    <font>
      <vertAlign val="superscript"/>
      <sz val="14"/>
      <name val="Tmes new Roman"/>
    </font>
    <font>
      <b/>
      <vertAlign val="subscript"/>
      <sz val="14"/>
      <name val="Tmes new Roman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6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8" fillId="0" borderId="0" xfId="0" applyFont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0" fillId="5" borderId="0" xfId="0" applyFill="1"/>
    <xf numFmtId="0" fontId="6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6" fillId="5" borderId="0" xfId="0" applyFont="1" applyFill="1"/>
    <xf numFmtId="0" fontId="12" fillId="5" borderId="0" xfId="0" applyFont="1" applyFill="1"/>
    <xf numFmtId="0" fontId="12" fillId="5" borderId="0" xfId="0" applyFont="1" applyFill="1" applyAlignment="1">
      <alignment horizontal="center"/>
    </xf>
    <xf numFmtId="0" fontId="8" fillId="3" borderId="0" xfId="0" applyFont="1" applyFill="1"/>
    <xf numFmtId="0" fontId="11" fillId="3" borderId="2" xfId="0" applyFont="1" applyFill="1" applyBorder="1"/>
    <xf numFmtId="0" fontId="11" fillId="3" borderId="3" xfId="0" applyFont="1" applyFill="1" applyBorder="1"/>
    <xf numFmtId="0" fontId="2" fillId="3" borderId="4" xfId="0" applyFont="1" applyFill="1" applyBorder="1"/>
    <xf numFmtId="0" fontId="11" fillId="3" borderId="5" xfId="0" applyFont="1" applyFill="1" applyBorder="1"/>
    <xf numFmtId="0" fontId="11" fillId="3" borderId="0" xfId="0" applyFont="1" applyFill="1" applyBorder="1"/>
    <xf numFmtId="0" fontId="2" fillId="3" borderId="6" xfId="0" applyFont="1" applyFill="1" applyBorder="1"/>
    <xf numFmtId="0" fontId="11" fillId="3" borderId="7" xfId="0" applyFont="1" applyFill="1" applyBorder="1"/>
    <xf numFmtId="0" fontId="11" fillId="3" borderId="8" xfId="0" applyFont="1" applyFill="1" applyBorder="1"/>
    <xf numFmtId="0" fontId="2" fillId="3" borderId="9" xfId="0" applyFont="1" applyFill="1" applyBorder="1"/>
    <xf numFmtId="0" fontId="12" fillId="3" borderId="0" xfId="0" applyFont="1" applyFill="1"/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image" Target="../media/image18.emf"/><Relationship Id="rId3" Type="http://schemas.openxmlformats.org/officeDocument/2006/relationships/image" Target="../media/image7.emf"/><Relationship Id="rId7" Type="http://schemas.openxmlformats.org/officeDocument/2006/relationships/image" Target="../media/image15.emf"/><Relationship Id="rId12" Type="http://schemas.openxmlformats.org/officeDocument/2006/relationships/image" Target="../media/image17.emf"/><Relationship Id="rId2" Type="http://schemas.openxmlformats.org/officeDocument/2006/relationships/image" Target="../media/image6.emf"/><Relationship Id="rId1" Type="http://schemas.openxmlformats.org/officeDocument/2006/relationships/image" Target="../media/image1.emf"/><Relationship Id="rId6" Type="http://schemas.openxmlformats.org/officeDocument/2006/relationships/image" Target="../media/image13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5.emf"/><Relationship Id="rId4" Type="http://schemas.openxmlformats.org/officeDocument/2006/relationships/image" Target="../media/image9.emf"/><Relationship Id="rId9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18" Type="http://schemas.openxmlformats.org/officeDocument/2006/relationships/oleObject" Target="../embeddings/oleObject16.bin"/><Relationship Id="rId3" Type="http://schemas.openxmlformats.org/officeDocument/2006/relationships/oleObject" Target="../embeddings/oleObject1.bin"/><Relationship Id="rId21" Type="http://schemas.openxmlformats.org/officeDocument/2006/relationships/oleObject" Target="../embeddings/oleObject19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20" Type="http://schemas.openxmlformats.org/officeDocument/2006/relationships/oleObject" Target="../embeddings/oleObject18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23" Type="http://schemas.openxmlformats.org/officeDocument/2006/relationships/oleObject" Target="../embeddings/oleObject21.bin"/><Relationship Id="rId10" Type="http://schemas.openxmlformats.org/officeDocument/2006/relationships/oleObject" Target="../embeddings/oleObject8.bin"/><Relationship Id="rId19" Type="http://schemas.openxmlformats.org/officeDocument/2006/relationships/oleObject" Target="../embeddings/oleObject17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Relationship Id="rId22" Type="http://schemas.openxmlformats.org/officeDocument/2006/relationships/oleObject" Target="../embeddings/oleObject2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7.bin"/><Relationship Id="rId13" Type="http://schemas.openxmlformats.org/officeDocument/2006/relationships/oleObject" Target="../embeddings/oleObject32.bin"/><Relationship Id="rId18" Type="http://schemas.openxmlformats.org/officeDocument/2006/relationships/oleObject" Target="../embeddings/oleObject37.bin"/><Relationship Id="rId3" Type="http://schemas.openxmlformats.org/officeDocument/2006/relationships/oleObject" Target="../embeddings/oleObject22.bin"/><Relationship Id="rId21" Type="http://schemas.openxmlformats.org/officeDocument/2006/relationships/oleObject" Target="../embeddings/oleObject40.bin"/><Relationship Id="rId7" Type="http://schemas.openxmlformats.org/officeDocument/2006/relationships/oleObject" Target="../embeddings/oleObject26.bin"/><Relationship Id="rId12" Type="http://schemas.openxmlformats.org/officeDocument/2006/relationships/oleObject" Target="../embeddings/oleObject31.bin"/><Relationship Id="rId17" Type="http://schemas.openxmlformats.org/officeDocument/2006/relationships/oleObject" Target="../embeddings/oleObject36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35.bin"/><Relationship Id="rId20" Type="http://schemas.openxmlformats.org/officeDocument/2006/relationships/oleObject" Target="../embeddings/oleObject39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5.bin"/><Relationship Id="rId11" Type="http://schemas.openxmlformats.org/officeDocument/2006/relationships/oleObject" Target="../embeddings/oleObject30.bin"/><Relationship Id="rId5" Type="http://schemas.openxmlformats.org/officeDocument/2006/relationships/oleObject" Target="../embeddings/oleObject24.bin"/><Relationship Id="rId15" Type="http://schemas.openxmlformats.org/officeDocument/2006/relationships/oleObject" Target="../embeddings/oleObject34.bin"/><Relationship Id="rId10" Type="http://schemas.openxmlformats.org/officeDocument/2006/relationships/oleObject" Target="../embeddings/oleObject29.bin"/><Relationship Id="rId19" Type="http://schemas.openxmlformats.org/officeDocument/2006/relationships/oleObject" Target="../embeddings/oleObject38.bin"/><Relationship Id="rId4" Type="http://schemas.openxmlformats.org/officeDocument/2006/relationships/oleObject" Target="../embeddings/oleObject23.bin"/><Relationship Id="rId9" Type="http://schemas.openxmlformats.org/officeDocument/2006/relationships/oleObject" Target="../embeddings/oleObject28.bin"/><Relationship Id="rId14" Type="http://schemas.openxmlformats.org/officeDocument/2006/relationships/oleObject" Target="../embeddings/oleObject33.bin"/><Relationship Id="rId22" Type="http://schemas.openxmlformats.org/officeDocument/2006/relationships/oleObject" Target="../embeddings/oleObject4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0"/>
  <sheetViews>
    <sheetView tabSelected="1" topLeftCell="A97" zoomScale="130" zoomScaleNormal="130" workbookViewId="0">
      <selection activeCell="H31" sqref="H31"/>
    </sheetView>
  </sheetViews>
  <sheetFormatPr defaultRowHeight="12.75"/>
  <cols>
    <col min="1" max="1" width="28.42578125" customWidth="1"/>
    <col min="4" max="4" width="12.85546875" customWidth="1"/>
    <col min="5" max="5" width="13.42578125" bestFit="1" customWidth="1"/>
    <col min="6" max="6" width="13.28515625" customWidth="1"/>
    <col min="7" max="8" width="12.42578125" bestFit="1" customWidth="1"/>
    <col min="10" max="10" width="13.28515625" customWidth="1"/>
    <col min="11" max="11" width="14.7109375" customWidth="1"/>
    <col min="12" max="12" width="20.85546875" customWidth="1"/>
    <col min="13" max="13" width="20" customWidth="1"/>
    <col min="14" max="14" width="19" customWidth="1"/>
    <col min="15" max="15" width="11.140625" customWidth="1"/>
    <col min="16" max="16" width="10.42578125" customWidth="1"/>
    <col min="17" max="17" width="14.85546875" customWidth="1"/>
  </cols>
  <sheetData>
    <row r="1" spans="1:17">
      <c r="A1" s="4" t="s">
        <v>192</v>
      </c>
    </row>
    <row r="3" spans="1:17">
      <c r="A3" t="s">
        <v>1</v>
      </c>
    </row>
    <row r="4" spans="1:17">
      <c r="A4" t="s">
        <v>2</v>
      </c>
    </row>
    <row r="5" spans="1:17">
      <c r="A5" t="s">
        <v>3</v>
      </c>
    </row>
    <row r="6" spans="1:17">
      <c r="A6" t="s">
        <v>4</v>
      </c>
      <c r="E6" s="6" t="s">
        <v>180</v>
      </c>
      <c r="L6" s="2"/>
      <c r="M6" s="2"/>
      <c r="N6" s="39" t="s">
        <v>193</v>
      </c>
      <c r="O6" s="3"/>
      <c r="P6" s="3"/>
      <c r="Q6" s="2"/>
    </row>
    <row r="7" spans="1:17">
      <c r="L7" s="2"/>
      <c r="M7" s="2" t="s">
        <v>109</v>
      </c>
      <c r="N7" s="2"/>
      <c r="O7" s="3"/>
      <c r="P7" s="3"/>
      <c r="Q7" s="3"/>
    </row>
    <row r="8" spans="1:17">
      <c r="A8" s="4" t="s">
        <v>59</v>
      </c>
      <c r="L8" s="3"/>
      <c r="M8" s="3"/>
      <c r="N8" s="3"/>
      <c r="O8" s="3"/>
      <c r="P8" s="3"/>
      <c r="Q8" s="3"/>
    </row>
    <row r="9" spans="1:17">
      <c r="L9" s="3"/>
      <c r="M9" s="3"/>
      <c r="N9" s="3"/>
      <c r="O9" s="3"/>
      <c r="P9" s="3"/>
      <c r="Q9" s="3"/>
    </row>
    <row r="10" spans="1:17">
      <c r="A10" s="22" t="s">
        <v>60</v>
      </c>
      <c r="B10" s="22"/>
      <c r="C10" s="23" t="s">
        <v>148</v>
      </c>
      <c r="D10" s="23" t="s">
        <v>149</v>
      </c>
      <c r="E10" s="24"/>
      <c r="F10" s="24"/>
      <c r="G10" s="22"/>
      <c r="H10" s="22"/>
      <c r="I10" s="22"/>
      <c r="L10" s="3"/>
      <c r="M10" s="3"/>
      <c r="N10" s="3"/>
      <c r="O10" s="3"/>
      <c r="P10" s="3"/>
      <c r="Q10" s="3"/>
    </row>
    <row r="11" spans="1:17">
      <c r="A11" s="22" t="s">
        <v>136</v>
      </c>
      <c r="B11" s="22"/>
      <c r="C11" s="23" t="s">
        <v>191</v>
      </c>
      <c r="D11" s="24">
        <v>6.0650000000000004</v>
      </c>
      <c r="E11" s="24" t="s">
        <v>113</v>
      </c>
      <c r="F11" s="24"/>
      <c r="G11" s="22"/>
      <c r="H11" s="22"/>
      <c r="I11" s="22"/>
      <c r="L11" s="3"/>
      <c r="M11" s="3"/>
      <c r="N11" s="3"/>
      <c r="O11" s="3"/>
      <c r="P11" s="3"/>
      <c r="Q11" s="3"/>
    </row>
    <row r="12" spans="1:17" ht="15.75">
      <c r="A12" s="22" t="s">
        <v>135</v>
      </c>
      <c r="B12" s="22"/>
      <c r="C12" s="24" t="s">
        <v>101</v>
      </c>
      <c r="D12" s="24">
        <v>6</v>
      </c>
      <c r="E12" s="24" t="s">
        <v>113</v>
      </c>
      <c r="F12" s="24"/>
      <c r="G12" s="22"/>
      <c r="H12" s="22"/>
      <c r="I12" s="22"/>
      <c r="L12" s="3" t="s">
        <v>11</v>
      </c>
      <c r="M12" s="3" t="s">
        <v>5</v>
      </c>
      <c r="N12" s="3"/>
      <c r="O12" s="3" t="s">
        <v>13</v>
      </c>
      <c r="P12" s="3" t="s">
        <v>15</v>
      </c>
      <c r="Q12" s="3" t="s">
        <v>12</v>
      </c>
    </row>
    <row r="13" spans="1:17">
      <c r="A13" s="22" t="s">
        <v>87</v>
      </c>
      <c r="B13" s="22"/>
      <c r="C13" s="24"/>
      <c r="D13" s="24">
        <v>40</v>
      </c>
      <c r="E13" s="24"/>
      <c r="F13" s="24"/>
      <c r="G13" s="22"/>
      <c r="H13" s="22"/>
      <c r="I13" s="22"/>
      <c r="L13" s="3"/>
      <c r="M13" s="3"/>
      <c r="N13" s="3"/>
      <c r="O13" s="3"/>
      <c r="P13" s="3"/>
      <c r="Q13" s="3"/>
    </row>
    <row r="14" spans="1:17">
      <c r="A14" s="22" t="s">
        <v>123</v>
      </c>
      <c r="B14" s="22"/>
      <c r="C14" s="24" t="s">
        <v>90</v>
      </c>
      <c r="D14" s="24">
        <v>520</v>
      </c>
      <c r="E14" s="24" t="s">
        <v>114</v>
      </c>
      <c r="F14" s="24"/>
      <c r="G14" s="22"/>
      <c r="H14" s="22"/>
      <c r="I14" s="22"/>
      <c r="L14" s="3" t="s">
        <v>14</v>
      </c>
      <c r="M14" s="3" t="s">
        <v>6</v>
      </c>
      <c r="N14" s="3" t="s">
        <v>7</v>
      </c>
      <c r="O14" s="3">
        <v>800</v>
      </c>
      <c r="P14" s="3">
        <v>0.14000000000000001</v>
      </c>
      <c r="Q14" s="3">
        <v>4</v>
      </c>
    </row>
    <row r="15" spans="1:17">
      <c r="A15" s="22" t="s">
        <v>62</v>
      </c>
      <c r="B15" s="22"/>
      <c r="C15" s="24" t="s">
        <v>91</v>
      </c>
      <c r="D15" s="24">
        <v>0.625</v>
      </c>
      <c r="E15" s="24"/>
      <c r="F15" s="24"/>
      <c r="G15" s="22"/>
      <c r="H15" s="22"/>
      <c r="I15" s="22"/>
      <c r="L15" s="3"/>
      <c r="M15" s="3" t="s">
        <v>8</v>
      </c>
      <c r="N15" s="3" t="s">
        <v>9</v>
      </c>
      <c r="O15" s="3">
        <v>800</v>
      </c>
      <c r="P15" s="3">
        <v>7.0999999999999994E-2</v>
      </c>
      <c r="Q15" s="3">
        <v>4.2</v>
      </c>
    </row>
    <row r="16" spans="1:17" ht="15.75">
      <c r="A16" s="22" t="s">
        <v>124</v>
      </c>
      <c r="B16" s="22"/>
      <c r="C16" s="24"/>
      <c r="D16" s="24">
        <f>(62.4*D15)</f>
        <v>39</v>
      </c>
      <c r="E16" s="23" t="s">
        <v>164</v>
      </c>
      <c r="F16" s="24"/>
      <c r="G16" s="22"/>
      <c r="H16" s="22"/>
      <c r="I16" s="22"/>
      <c r="L16" s="3"/>
      <c r="M16" s="3" t="s">
        <v>10</v>
      </c>
      <c r="N16" s="3" t="s">
        <v>16</v>
      </c>
      <c r="O16" s="3">
        <v>800</v>
      </c>
      <c r="P16" s="3">
        <v>9.0999999999999998E-2</v>
      </c>
      <c r="Q16" s="3">
        <v>4</v>
      </c>
    </row>
    <row r="17" spans="1:17">
      <c r="A17" s="22" t="s">
        <v>123</v>
      </c>
      <c r="B17" s="22"/>
      <c r="C17" s="24" t="s">
        <v>92</v>
      </c>
      <c r="D17" s="24">
        <f>ROUND((D16*D14*60/7.48),2)</f>
        <v>162673.79999999999</v>
      </c>
      <c r="E17" s="24" t="s">
        <v>129</v>
      </c>
      <c r="F17" s="24"/>
      <c r="G17" s="22"/>
      <c r="H17" s="22"/>
      <c r="I17" s="22"/>
      <c r="L17" s="3"/>
      <c r="M17" s="3"/>
      <c r="N17" s="3" t="s">
        <v>17</v>
      </c>
      <c r="O17" s="3">
        <v>800</v>
      </c>
      <c r="P17" s="3">
        <v>5.6000000000000001E-2</v>
      </c>
      <c r="Q17" s="3">
        <v>3.9</v>
      </c>
    </row>
    <row r="18" spans="1:17">
      <c r="A18" s="22" t="s">
        <v>125</v>
      </c>
      <c r="B18" s="22"/>
      <c r="C18" s="24"/>
      <c r="D18" s="24">
        <v>0.106</v>
      </c>
      <c r="E18" s="24" t="s">
        <v>115</v>
      </c>
      <c r="F18" s="24"/>
      <c r="G18" s="22"/>
      <c r="H18" s="22"/>
      <c r="I18" s="22"/>
      <c r="L18" s="3"/>
      <c r="M18" s="3"/>
      <c r="N18" s="3" t="s">
        <v>18</v>
      </c>
      <c r="O18" s="3">
        <v>800</v>
      </c>
      <c r="P18" s="3">
        <v>6.6000000000000003E-2</v>
      </c>
      <c r="Q18" s="3">
        <v>3.9</v>
      </c>
    </row>
    <row r="19" spans="1:17">
      <c r="A19" s="22" t="s">
        <v>122</v>
      </c>
      <c r="B19" s="22"/>
      <c r="C19" s="24" t="s">
        <v>93</v>
      </c>
      <c r="D19" s="24">
        <v>75</v>
      </c>
      <c r="E19" s="24" t="s">
        <v>126</v>
      </c>
      <c r="F19" s="24"/>
      <c r="G19" s="22"/>
      <c r="H19" s="22"/>
      <c r="I19" s="22"/>
      <c r="L19" s="3"/>
      <c r="M19" s="3"/>
      <c r="N19" s="3" t="s">
        <v>19</v>
      </c>
      <c r="O19" s="3">
        <v>800</v>
      </c>
      <c r="P19" s="3">
        <v>7.4999999999999997E-2</v>
      </c>
      <c r="Q19" s="3">
        <v>4.2</v>
      </c>
    </row>
    <row r="20" spans="1:17">
      <c r="A20" s="22" t="s">
        <v>121</v>
      </c>
      <c r="B20" s="22"/>
      <c r="C20" s="24"/>
      <c r="D20" s="24">
        <v>38</v>
      </c>
      <c r="E20" s="24" t="s">
        <v>126</v>
      </c>
      <c r="F20" s="24"/>
      <c r="G20" s="22"/>
      <c r="H20" s="22"/>
      <c r="I20" s="22"/>
      <c r="L20" s="3"/>
      <c r="M20" s="3" t="s">
        <v>20</v>
      </c>
      <c r="N20" s="3" t="s">
        <v>21</v>
      </c>
      <c r="O20" s="3">
        <v>1000</v>
      </c>
      <c r="P20" s="3">
        <v>0.27</v>
      </c>
      <c r="Q20" s="3">
        <v>4</v>
      </c>
    </row>
    <row r="21" spans="1:17">
      <c r="A21" s="22" t="s">
        <v>120</v>
      </c>
      <c r="B21" s="22"/>
      <c r="C21" s="24"/>
      <c r="D21" s="23">
        <v>1.8E-3</v>
      </c>
      <c r="E21" s="24" t="s">
        <v>113</v>
      </c>
      <c r="F21" s="24"/>
      <c r="G21" s="22"/>
      <c r="H21" s="22"/>
      <c r="I21" s="22"/>
      <c r="L21" s="3"/>
      <c r="M21" s="3"/>
      <c r="N21" s="3" t="s">
        <v>22</v>
      </c>
      <c r="O21" s="3">
        <v>800</v>
      </c>
      <c r="P21" s="3">
        <v>6.8000000000000005E-2</v>
      </c>
      <c r="Q21" s="3">
        <v>4.0999999999999996</v>
      </c>
    </row>
    <row r="22" spans="1:17" ht="14.25">
      <c r="A22" s="22" t="s">
        <v>98</v>
      </c>
      <c r="B22" s="22"/>
      <c r="C22" s="24" t="s">
        <v>89</v>
      </c>
      <c r="D22" s="24">
        <v>32.200000000000003</v>
      </c>
      <c r="E22" s="24" t="s">
        <v>130</v>
      </c>
      <c r="F22" s="24"/>
      <c r="G22" s="22"/>
      <c r="H22" s="22"/>
      <c r="I22" s="22"/>
      <c r="L22" s="3"/>
      <c r="M22" s="3"/>
      <c r="N22" s="3" t="s">
        <v>23</v>
      </c>
      <c r="O22" s="3">
        <v>800</v>
      </c>
      <c r="P22" s="3">
        <v>3.5000000000000003E-2</v>
      </c>
      <c r="Q22" s="3">
        <v>4.2</v>
      </c>
    </row>
    <row r="23" spans="1:17" ht="15.75">
      <c r="A23" s="22" t="s">
        <v>119</v>
      </c>
      <c r="B23" s="22"/>
      <c r="C23" s="24" t="s">
        <v>102</v>
      </c>
      <c r="D23" s="24">
        <v>32.173999999999999</v>
      </c>
      <c r="E23" s="24" t="s">
        <v>131</v>
      </c>
      <c r="F23" s="24"/>
      <c r="G23" s="22"/>
      <c r="H23" s="22"/>
      <c r="I23" s="22"/>
      <c r="L23" s="3" t="s">
        <v>24</v>
      </c>
      <c r="M23" s="3" t="s">
        <v>6</v>
      </c>
      <c r="N23" s="3" t="s">
        <v>16</v>
      </c>
      <c r="O23" s="3">
        <v>500</v>
      </c>
      <c r="P23" s="3">
        <v>7.0999999999999994E-2</v>
      </c>
      <c r="Q23" s="3">
        <v>4.2</v>
      </c>
    </row>
    <row r="24" spans="1:17">
      <c r="A24" s="22" t="s">
        <v>137</v>
      </c>
      <c r="B24" s="22"/>
      <c r="C24" s="24"/>
      <c r="D24" s="24">
        <v>80</v>
      </c>
      <c r="E24" s="24" t="s">
        <v>117</v>
      </c>
      <c r="F24" s="24">
        <f>(D24+14.7)</f>
        <v>94.7</v>
      </c>
      <c r="G24" s="25" t="s">
        <v>155</v>
      </c>
      <c r="H24" s="22">
        <f>ROUND(F24*144/D16,2)</f>
        <v>349.66</v>
      </c>
      <c r="I24" s="24" t="s">
        <v>150</v>
      </c>
      <c r="L24" s="3"/>
      <c r="M24" s="3" t="s">
        <v>25</v>
      </c>
      <c r="N24" s="3" t="s">
        <v>28</v>
      </c>
      <c r="O24" s="3">
        <v>500</v>
      </c>
      <c r="P24" s="3">
        <v>5.1999999999999998E-2</v>
      </c>
      <c r="Q24" s="3">
        <v>4</v>
      </c>
    </row>
    <row r="25" spans="1:17" ht="13.5">
      <c r="A25" s="25" t="s">
        <v>145</v>
      </c>
      <c r="B25" s="22"/>
      <c r="C25" s="24" t="s">
        <v>143</v>
      </c>
      <c r="D25" s="24">
        <v>106</v>
      </c>
      <c r="E25" s="23" t="s">
        <v>144</v>
      </c>
      <c r="F25" s="24"/>
      <c r="G25" s="22"/>
      <c r="H25" s="22"/>
      <c r="I25" s="22"/>
      <c r="L25" s="3"/>
      <c r="M25" s="3" t="s">
        <v>26</v>
      </c>
      <c r="N25" s="3" t="s">
        <v>29</v>
      </c>
      <c r="O25" s="3">
        <v>500</v>
      </c>
      <c r="P25" s="3">
        <v>8.5999999999999993E-2</v>
      </c>
      <c r="Q25" s="3">
        <v>4</v>
      </c>
    </row>
    <row r="26" spans="1:17">
      <c r="C26" s="1"/>
      <c r="D26" s="1"/>
      <c r="E26" s="1"/>
      <c r="F26" s="1"/>
      <c r="L26" s="3"/>
      <c r="M26" s="3" t="s">
        <v>27</v>
      </c>
      <c r="N26" s="3" t="s">
        <v>30</v>
      </c>
      <c r="O26" s="3">
        <v>500</v>
      </c>
      <c r="P26" s="3">
        <v>5.1999999999999998E-2</v>
      </c>
      <c r="Q26" s="3">
        <v>4</v>
      </c>
    </row>
    <row r="27" spans="1:17">
      <c r="A27" s="4" t="s">
        <v>61</v>
      </c>
      <c r="C27" s="1"/>
      <c r="D27" s="1"/>
      <c r="E27" s="1"/>
      <c r="F27" s="1"/>
      <c r="L27" s="3" t="s">
        <v>31</v>
      </c>
      <c r="M27" s="3" t="s">
        <v>32</v>
      </c>
      <c r="N27" s="3"/>
      <c r="O27" s="3"/>
      <c r="P27" s="3"/>
      <c r="Q27" s="3"/>
    </row>
    <row r="28" spans="1:17">
      <c r="C28" s="1"/>
      <c r="D28" s="1"/>
      <c r="E28" s="1"/>
      <c r="F28" s="1"/>
      <c r="L28" s="3"/>
      <c r="M28" s="3" t="s">
        <v>33</v>
      </c>
      <c r="N28" s="3" t="s">
        <v>16</v>
      </c>
      <c r="O28" s="3">
        <v>1000</v>
      </c>
      <c r="P28" s="3">
        <v>0.23</v>
      </c>
      <c r="Q28" s="3">
        <v>4</v>
      </c>
    </row>
    <row r="29" spans="1:17" ht="14.25">
      <c r="A29" t="s">
        <v>139</v>
      </c>
      <c r="C29" s="1"/>
      <c r="D29" s="1">
        <f>ROUND(PI()*(D11/12)^2/4,4)</f>
        <v>0.2006</v>
      </c>
      <c r="E29" s="1" t="s">
        <v>118</v>
      </c>
      <c r="F29" s="1"/>
      <c r="L29" s="3" t="s">
        <v>34</v>
      </c>
      <c r="M29" s="3" t="s">
        <v>35</v>
      </c>
      <c r="N29" s="3" t="s">
        <v>16</v>
      </c>
      <c r="O29" s="3">
        <v>1000</v>
      </c>
      <c r="P29" s="3">
        <v>0.12</v>
      </c>
      <c r="Q29" s="3">
        <v>4</v>
      </c>
    </row>
    <row r="30" spans="1:17">
      <c r="A30" t="s">
        <v>138</v>
      </c>
      <c r="C30" s="1"/>
      <c r="D30" s="1">
        <f>ROUND(0.408*$D$14/D11^2,2)</f>
        <v>5.77</v>
      </c>
      <c r="E30" s="1" t="s">
        <v>128</v>
      </c>
      <c r="F30" s="1"/>
      <c r="L30" s="3"/>
      <c r="M30" s="3" t="s">
        <v>36</v>
      </c>
      <c r="N30" s="3" t="s">
        <v>28</v>
      </c>
      <c r="O30" s="3">
        <v>1000</v>
      </c>
      <c r="P30" s="3">
        <v>0.1</v>
      </c>
      <c r="Q30" s="3">
        <v>4</v>
      </c>
    </row>
    <row r="31" spans="1:17" ht="15">
      <c r="A31" s="6" t="s">
        <v>151</v>
      </c>
      <c r="C31" s="1"/>
      <c r="D31" s="1">
        <f>ROUND(-(D30^2/(2*32.2)),3)</f>
        <v>-0.51700000000000002</v>
      </c>
      <c r="E31" s="1" t="s">
        <v>150</v>
      </c>
      <c r="F31" s="1">
        <f>ROUND(D31*D16/144,4)</f>
        <v>-0.14000000000000001</v>
      </c>
      <c r="G31" s="6" t="s">
        <v>94</v>
      </c>
      <c r="L31" s="3" t="s">
        <v>37</v>
      </c>
      <c r="M31" s="3" t="s">
        <v>38</v>
      </c>
      <c r="N31" s="3"/>
      <c r="O31" s="3"/>
      <c r="P31" s="3"/>
      <c r="Q31" s="3"/>
    </row>
    <row r="32" spans="1:17">
      <c r="A32" t="s">
        <v>95</v>
      </c>
      <c r="C32" s="1"/>
      <c r="D32" s="1">
        <f>ROUND(D19*12/D11,3)</f>
        <v>148.392</v>
      </c>
      <c r="E32" s="1"/>
      <c r="F32" s="1"/>
      <c r="L32" s="3"/>
      <c r="M32" s="3" t="s">
        <v>39</v>
      </c>
      <c r="N32" s="3"/>
      <c r="O32" s="3"/>
      <c r="P32" s="3"/>
      <c r="Q32" s="3"/>
    </row>
    <row r="33" spans="1:17">
      <c r="A33" t="s">
        <v>63</v>
      </c>
      <c r="C33" s="1"/>
      <c r="D33" s="1">
        <f>ROUND((50.6*D14*D15*62.3)/(D11*D18),0)</f>
        <v>1593622</v>
      </c>
      <c r="E33" s="1"/>
      <c r="F33" s="1"/>
      <c r="L33" s="3"/>
      <c r="M33" s="3" t="s">
        <v>40</v>
      </c>
      <c r="N33" s="3" t="s">
        <v>16</v>
      </c>
      <c r="O33" s="3">
        <v>500</v>
      </c>
      <c r="P33" s="3">
        <v>0.27400000000000002</v>
      </c>
      <c r="Q33" s="3">
        <v>4</v>
      </c>
    </row>
    <row r="34" spans="1:17">
      <c r="A34" t="s">
        <v>64</v>
      </c>
      <c r="C34" s="1"/>
      <c r="D34" s="1" t="str">
        <f>IF(D33&gt;=4000,"TURBULENT FLOW","LAMINAR FLOW")</f>
        <v>TURBULENT FLOW</v>
      </c>
      <c r="E34" s="1"/>
      <c r="F34" s="1"/>
      <c r="L34" s="3"/>
      <c r="M34" s="3"/>
      <c r="N34" s="3" t="s">
        <v>28</v>
      </c>
      <c r="O34" s="3">
        <v>800</v>
      </c>
      <c r="P34" s="3">
        <v>0.14000000000000001</v>
      </c>
      <c r="Q34" s="3">
        <v>4</v>
      </c>
    </row>
    <row r="35" spans="1:17">
      <c r="C35" s="1"/>
      <c r="D35" s="1"/>
      <c r="E35" s="1"/>
      <c r="F35" s="1"/>
      <c r="L35" s="3"/>
      <c r="M35" s="3" t="s">
        <v>35</v>
      </c>
      <c r="N35" s="3" t="s">
        <v>16</v>
      </c>
      <c r="O35" s="3">
        <v>800</v>
      </c>
      <c r="P35" s="3">
        <v>0.28000000000000003</v>
      </c>
      <c r="Q35" s="3">
        <v>4</v>
      </c>
    </row>
    <row r="36" spans="1:17">
      <c r="A36" t="s">
        <v>80</v>
      </c>
      <c r="C36" s="1"/>
      <c r="D36" s="1"/>
      <c r="E36" s="1"/>
      <c r="F36" s="1"/>
      <c r="L36" s="3"/>
      <c r="M36" s="3" t="s">
        <v>41</v>
      </c>
      <c r="N36" s="3"/>
      <c r="O36" s="3">
        <v>1000</v>
      </c>
      <c r="P36" s="3">
        <v>0.34</v>
      </c>
      <c r="Q36" s="3">
        <v>4</v>
      </c>
    </row>
    <row r="37" spans="1:17">
      <c r="A37" t="s">
        <v>79</v>
      </c>
      <c r="C37" s="1"/>
      <c r="D37" s="1"/>
      <c r="E37" s="1"/>
      <c r="F37" s="1"/>
      <c r="L37" s="3"/>
      <c r="M37" s="3" t="s">
        <v>42</v>
      </c>
      <c r="N37" s="3" t="s">
        <v>16</v>
      </c>
      <c r="O37" s="3">
        <v>200</v>
      </c>
      <c r="P37" s="3">
        <v>9.0999999999999998E-2</v>
      </c>
      <c r="Q37" s="3">
        <v>4</v>
      </c>
    </row>
    <row r="38" spans="1:17">
      <c r="C38" s="1"/>
      <c r="D38" s="1"/>
      <c r="E38" s="1"/>
      <c r="F38" s="1"/>
      <c r="L38" s="3"/>
      <c r="M38" s="3" t="s">
        <v>35</v>
      </c>
      <c r="N38" s="3" t="s">
        <v>16</v>
      </c>
      <c r="O38" s="3">
        <v>150</v>
      </c>
      <c r="P38" s="3">
        <v>1.7000000000000001E-2</v>
      </c>
      <c r="Q38" s="3">
        <v>4</v>
      </c>
    </row>
    <row r="39" spans="1:17">
      <c r="C39" s="1"/>
      <c r="D39" s="10"/>
      <c r="E39" s="1"/>
      <c r="F39" s="1"/>
      <c r="L39" s="3"/>
      <c r="M39" s="3" t="s">
        <v>41</v>
      </c>
      <c r="N39" s="3"/>
      <c r="O39" s="3">
        <v>100</v>
      </c>
      <c r="P39" s="3">
        <v>0</v>
      </c>
      <c r="Q39" s="3">
        <v>0</v>
      </c>
    </row>
    <row r="40" spans="1:17" ht="14.25">
      <c r="A40" s="4" t="s">
        <v>100</v>
      </c>
      <c r="C40" s="1"/>
      <c r="D40" s="1"/>
      <c r="E40" s="1"/>
      <c r="F40" s="1"/>
      <c r="L40" s="3" t="s">
        <v>43</v>
      </c>
      <c r="M40" s="3" t="s">
        <v>44</v>
      </c>
      <c r="N40" s="3" t="s">
        <v>45</v>
      </c>
      <c r="O40" s="3">
        <v>950</v>
      </c>
      <c r="P40" s="3">
        <v>0.25</v>
      </c>
      <c r="Q40" s="3">
        <v>4</v>
      </c>
    </row>
    <row r="41" spans="1:17">
      <c r="C41" s="1"/>
      <c r="D41" s="1"/>
      <c r="E41" s="1"/>
      <c r="F41" s="1"/>
      <c r="L41" s="3"/>
      <c r="M41" s="3" t="s">
        <v>46</v>
      </c>
      <c r="N41" s="3" t="s">
        <v>45</v>
      </c>
      <c r="O41" s="3">
        <v>1000</v>
      </c>
      <c r="P41" s="3">
        <v>0.69</v>
      </c>
      <c r="Q41" s="3">
        <v>4</v>
      </c>
    </row>
    <row r="42" spans="1:17">
      <c r="A42" t="s">
        <v>0</v>
      </c>
      <c r="C42" s="1"/>
      <c r="D42" s="1">
        <f>ROUND(D21/(3.7*D11),5)</f>
        <v>8.0000000000000007E-5</v>
      </c>
      <c r="E42" s="1"/>
      <c r="F42" s="1"/>
      <c r="L42" s="3"/>
      <c r="M42" s="3" t="s">
        <v>47</v>
      </c>
      <c r="N42" s="3" t="s">
        <v>49</v>
      </c>
      <c r="O42" s="3">
        <v>1500</v>
      </c>
      <c r="P42" s="3">
        <v>1.7</v>
      </c>
      <c r="Q42" s="3">
        <v>3.6</v>
      </c>
    </row>
    <row r="43" spans="1:17">
      <c r="A43" t="s">
        <v>66</v>
      </c>
      <c r="C43" s="1"/>
      <c r="D43" s="1">
        <f>ROUND((6.7/D33)^0.9,5)</f>
        <v>1.0000000000000001E-5</v>
      </c>
      <c r="E43" s="1"/>
      <c r="F43" s="1"/>
      <c r="L43" s="3"/>
      <c r="M43" s="3" t="s">
        <v>48</v>
      </c>
      <c r="N43" s="3" t="s">
        <v>50</v>
      </c>
      <c r="O43" s="3">
        <v>500</v>
      </c>
      <c r="P43" s="3">
        <v>0.41</v>
      </c>
      <c r="Q43" s="3">
        <v>4</v>
      </c>
    </row>
    <row r="44" spans="1:17">
      <c r="A44" t="s">
        <v>67</v>
      </c>
      <c r="C44" s="1"/>
      <c r="D44" s="1">
        <f>ROUND(SUM(D42:D43),5)</f>
        <v>9.0000000000000006E-5</v>
      </c>
      <c r="E44" s="1"/>
      <c r="F44" s="1"/>
      <c r="L44" s="3"/>
      <c r="M44" s="3" t="s">
        <v>48</v>
      </c>
      <c r="N44" s="3" t="s">
        <v>51</v>
      </c>
      <c r="O44" s="3">
        <v>300</v>
      </c>
      <c r="P44" s="3">
        <v>8.4000000000000005E-2</v>
      </c>
      <c r="Q44" s="3">
        <v>3.9</v>
      </c>
    </row>
    <row r="45" spans="1:17">
      <c r="A45" t="s">
        <v>68</v>
      </c>
      <c r="C45" s="1"/>
      <c r="D45" s="1">
        <f>F40-4*LOG(D42-(5.02*LOG(D44)/D33))</f>
        <v>16.130849846393026</v>
      </c>
      <c r="E45" s="1"/>
      <c r="F45" s="1" t="s">
        <v>106</v>
      </c>
      <c r="G45">
        <f>ROUND((2.457*LN(1/((7/D33)^0.9+(0.27*($D$21/D11)))))^16,3)</f>
        <v>5.14992902630309E+21</v>
      </c>
      <c r="H45" t="s">
        <v>107</v>
      </c>
      <c r="I45">
        <f>(37530/D33)^16</f>
        <v>8.9514206353332208E-27</v>
      </c>
      <c r="L45" s="3"/>
      <c r="M45" s="3" t="s">
        <v>48</v>
      </c>
      <c r="N45" s="3" t="s">
        <v>52</v>
      </c>
      <c r="O45" s="3">
        <v>300</v>
      </c>
      <c r="P45" s="3">
        <v>0.14000000000000001</v>
      </c>
      <c r="Q45" s="3">
        <v>4</v>
      </c>
    </row>
    <row r="46" spans="1:17">
      <c r="A46" t="s">
        <v>65</v>
      </c>
      <c r="C46" s="1"/>
      <c r="D46" s="1">
        <f>ROUND(1/(D45)^2,4)</f>
        <v>3.8E-3</v>
      </c>
      <c r="E46" s="1"/>
      <c r="F46" s="1"/>
      <c r="L46" s="3"/>
      <c r="M46" s="3"/>
      <c r="N46" s="3"/>
      <c r="O46" s="3"/>
      <c r="P46" s="3"/>
      <c r="Q46" s="3"/>
    </row>
    <row r="47" spans="1:17" ht="15.75">
      <c r="A47" t="s">
        <v>99</v>
      </c>
      <c r="C47" s="1"/>
      <c r="D47" s="1">
        <f>4*D46</f>
        <v>1.52E-2</v>
      </c>
      <c r="E47" s="1"/>
      <c r="F47" s="1" t="s">
        <v>108</v>
      </c>
      <c r="I47">
        <f>ROUND(8*((8/D33)^12+(1/(G45+I45)^1.5))^(1/12),4)</f>
        <v>1.55E-2</v>
      </c>
      <c r="L47" s="3"/>
      <c r="M47" s="3" t="s">
        <v>53</v>
      </c>
      <c r="N47" s="3" t="s">
        <v>49</v>
      </c>
      <c r="O47" s="3">
        <v>300</v>
      </c>
      <c r="P47" s="3">
        <v>3.6999999999999998E-2</v>
      </c>
      <c r="Q47" s="3">
        <v>3.9</v>
      </c>
    </row>
    <row r="48" spans="1:17" ht="15.75">
      <c r="C48" s="1"/>
      <c r="D48" s="1"/>
      <c r="E48" s="1"/>
      <c r="F48" s="1" t="s">
        <v>112</v>
      </c>
      <c r="I48">
        <f>I47/4</f>
        <v>3.875E-3</v>
      </c>
      <c r="L48" s="3"/>
      <c r="M48" s="3" t="s">
        <v>54</v>
      </c>
      <c r="N48" s="3" t="s">
        <v>49</v>
      </c>
      <c r="O48" s="3">
        <v>300</v>
      </c>
      <c r="P48" s="3">
        <v>1.7000000000000001E-2</v>
      </c>
      <c r="Q48" s="3">
        <v>4</v>
      </c>
    </row>
    <row r="49" spans="1:19">
      <c r="L49" s="3"/>
      <c r="M49" s="3" t="s">
        <v>55</v>
      </c>
      <c r="N49" s="3" t="s">
        <v>56</v>
      </c>
      <c r="O49" s="3">
        <v>1000</v>
      </c>
      <c r="P49" s="3">
        <v>0.69</v>
      </c>
      <c r="Q49" s="3">
        <v>4.9000000000000004</v>
      </c>
    </row>
    <row r="50" spans="1:19">
      <c r="L50" s="3"/>
      <c r="M50" s="3" t="s">
        <v>57</v>
      </c>
      <c r="N50" s="3"/>
      <c r="O50" s="3">
        <v>1500</v>
      </c>
      <c r="P50" s="3">
        <v>0.46</v>
      </c>
      <c r="Q50" s="3">
        <v>4</v>
      </c>
    </row>
    <row r="51" spans="1:19">
      <c r="L51" s="3"/>
      <c r="M51" s="3" t="s">
        <v>58</v>
      </c>
      <c r="N51" s="3"/>
      <c r="O51" s="3">
        <v>2000</v>
      </c>
      <c r="P51" s="3">
        <v>2.85</v>
      </c>
      <c r="Q51" s="3">
        <v>3.8</v>
      </c>
    </row>
    <row r="52" spans="1:19">
      <c r="A52" s="4" t="s">
        <v>132</v>
      </c>
      <c r="C52" s="1"/>
      <c r="D52">
        <f>D20</f>
        <v>38</v>
      </c>
      <c r="E52" s="1" t="s">
        <v>150</v>
      </c>
      <c r="F52" s="1">
        <f>ROUND(D16*D20/144,3)</f>
        <v>10.292</v>
      </c>
      <c r="G52" s="9" t="s">
        <v>117</v>
      </c>
    </row>
    <row r="55" spans="1:19">
      <c r="C55" s="1"/>
      <c r="D55" s="1"/>
      <c r="E55" s="1"/>
      <c r="F55" s="1"/>
    </row>
    <row r="57" spans="1:19">
      <c r="A57" s="4" t="s">
        <v>160</v>
      </c>
    </row>
    <row r="58" spans="1:19">
      <c r="D58" s="1"/>
      <c r="L58" s="1"/>
      <c r="N58" t="s">
        <v>78</v>
      </c>
    </row>
    <row r="59" spans="1:19">
      <c r="A59" t="s">
        <v>157</v>
      </c>
      <c r="C59" s="1"/>
      <c r="D59" s="1">
        <f>ROUND(D47*(D19*12/D11),3)</f>
        <v>2.2559999999999998</v>
      </c>
      <c r="L59" s="7" t="s">
        <v>69</v>
      </c>
      <c r="M59" s="7" t="s">
        <v>70</v>
      </c>
      <c r="N59" s="7" t="s">
        <v>71</v>
      </c>
      <c r="O59" s="7" t="s">
        <v>72</v>
      </c>
      <c r="P59" s="7" t="s">
        <v>73</v>
      </c>
      <c r="Q59" s="7" t="s">
        <v>74</v>
      </c>
      <c r="R59" s="7" t="s">
        <v>75</v>
      </c>
      <c r="S59" s="7" t="s">
        <v>76</v>
      </c>
    </row>
    <row r="60" spans="1:19">
      <c r="A60" t="s">
        <v>158</v>
      </c>
      <c r="D60" s="1">
        <f>S66</f>
        <v>1.48</v>
      </c>
      <c r="E60" s="1"/>
      <c r="L60" s="7" t="s">
        <v>53</v>
      </c>
      <c r="M60" s="7">
        <v>2</v>
      </c>
      <c r="N60" s="7">
        <f>O47</f>
        <v>300</v>
      </c>
      <c r="O60" s="7">
        <f>M60*N60</f>
        <v>600</v>
      </c>
      <c r="P60" s="7">
        <f>P47</f>
        <v>3.6999999999999998E-2</v>
      </c>
      <c r="Q60" s="7">
        <f>M60*P60</f>
        <v>7.3999999999999996E-2</v>
      </c>
      <c r="R60" s="7">
        <f>Q47</f>
        <v>3.9</v>
      </c>
      <c r="S60" s="7">
        <f>ROUND((O60/$D$33)+Q60*(1+R60/$D$12^0.3),3)</f>
        <v>0.24299999999999999</v>
      </c>
    </row>
    <row r="61" spans="1:19">
      <c r="A61" t="s">
        <v>159</v>
      </c>
      <c r="C61" s="1"/>
      <c r="D61" s="1">
        <f>SUM(D59:D60)</f>
        <v>3.7359999999999998</v>
      </c>
      <c r="E61" s="1"/>
      <c r="L61" s="7" t="s">
        <v>142</v>
      </c>
      <c r="M61" s="7">
        <v>3</v>
      </c>
      <c r="N61" s="7">
        <f>O15</f>
        <v>800</v>
      </c>
      <c r="O61" s="7">
        <f>M61*N61</f>
        <v>2400</v>
      </c>
      <c r="P61" s="7">
        <f>P15</f>
        <v>7.0999999999999994E-2</v>
      </c>
      <c r="Q61" s="7">
        <f>M61*P61</f>
        <v>0.21299999999999997</v>
      </c>
      <c r="R61" s="7">
        <f>Q15</f>
        <v>4.2</v>
      </c>
      <c r="S61" s="7">
        <f>ROUND((O61/$D$33)+Q61*(1+R61/$D$12^0.3),3)</f>
        <v>0.73699999999999999</v>
      </c>
    </row>
    <row r="62" spans="1:19">
      <c r="A62" s="6" t="s">
        <v>161</v>
      </c>
      <c r="C62" s="1"/>
      <c r="D62" s="1">
        <f>ROUND(D61*D31,3)</f>
        <v>-1.9319999999999999</v>
      </c>
      <c r="E62" s="1" t="s">
        <v>150</v>
      </c>
      <c r="F62">
        <f>ROUND(D62*D16/144,3)</f>
        <v>-0.52300000000000002</v>
      </c>
      <c r="G62" s="6" t="s">
        <v>162</v>
      </c>
      <c r="L62" s="7" t="s">
        <v>103</v>
      </c>
      <c r="M62" s="8"/>
      <c r="N62" s="8"/>
      <c r="O62" s="8"/>
      <c r="P62" s="8"/>
      <c r="Q62" s="8"/>
      <c r="R62" s="8"/>
      <c r="S62" s="7"/>
    </row>
    <row r="63" spans="1:19">
      <c r="C63" s="1"/>
      <c r="D63" s="1"/>
      <c r="E63" s="1"/>
      <c r="L63" s="7" t="s">
        <v>141</v>
      </c>
      <c r="M63" s="8"/>
      <c r="N63" s="8"/>
      <c r="O63" s="8"/>
      <c r="P63" s="8"/>
      <c r="Q63" s="8"/>
      <c r="R63" s="8"/>
      <c r="S63" s="7">
        <f>ROUND((160/D33+0.5),3)</f>
        <v>0.5</v>
      </c>
    </row>
    <row r="64" spans="1:19">
      <c r="A64" t="s">
        <v>140</v>
      </c>
      <c r="C64" s="1"/>
      <c r="D64" s="1">
        <f>ROUND((0.0216*D47*D16*D14^2)/D11^5,4)</f>
        <v>0.4219</v>
      </c>
      <c r="E64" s="1" t="s">
        <v>127</v>
      </c>
      <c r="L64" s="7"/>
      <c r="M64" s="8"/>
      <c r="N64" s="8"/>
      <c r="O64" s="8"/>
      <c r="P64" s="8"/>
      <c r="Q64" s="8"/>
      <c r="R64" s="8"/>
      <c r="S64" s="7"/>
    </row>
    <row r="65" spans="1:19">
      <c r="C65" s="1"/>
      <c r="D65" s="1"/>
      <c r="E65" s="1"/>
      <c r="L65" s="7"/>
      <c r="M65" s="7"/>
      <c r="N65" s="7"/>
      <c r="O65" s="7"/>
      <c r="P65" s="7"/>
      <c r="Q65" s="7"/>
      <c r="R65" s="7"/>
      <c r="S65" s="7"/>
    </row>
    <row r="66" spans="1:19">
      <c r="F66" s="1"/>
      <c r="L66" s="7" t="s">
        <v>77</v>
      </c>
      <c r="M66" s="7"/>
      <c r="N66" s="7"/>
      <c r="O66" s="7"/>
      <c r="P66" s="7"/>
      <c r="Q66" s="7"/>
      <c r="R66" s="7"/>
      <c r="S66" s="7">
        <f>SUM(S60:S63)</f>
        <v>1.48</v>
      </c>
    </row>
    <row r="67" spans="1:19">
      <c r="A67" s="4" t="s">
        <v>163</v>
      </c>
      <c r="D67">
        <f>H24+D31+D52+D62</f>
        <v>385.21100000000001</v>
      </c>
      <c r="E67" s="1" t="s">
        <v>150</v>
      </c>
      <c r="F67">
        <f>D24+F31+F52+F62</f>
        <v>89.629000000000005</v>
      </c>
      <c r="G67" s="6" t="s">
        <v>117</v>
      </c>
    </row>
    <row r="68" spans="1:19">
      <c r="D68">
        <f>ROUND(D67*D16/144,2)</f>
        <v>104.33</v>
      </c>
      <c r="E68" s="9" t="s">
        <v>155</v>
      </c>
    </row>
    <row r="69" spans="1:19">
      <c r="D69">
        <f>D68-14.7</f>
        <v>89.63</v>
      </c>
      <c r="E69" s="16" t="s">
        <v>117</v>
      </c>
    </row>
    <row r="73" spans="1:19">
      <c r="C73" s="1"/>
      <c r="D73" s="1"/>
      <c r="E73" s="1"/>
      <c r="F73" s="1"/>
    </row>
    <row r="74" spans="1:19">
      <c r="A74" s="4" t="s">
        <v>97</v>
      </c>
      <c r="B74" s="4"/>
      <c r="C74" s="5"/>
      <c r="D74" s="1"/>
      <c r="E74" s="1"/>
      <c r="F74" s="1"/>
    </row>
    <row r="75" spans="1:19">
      <c r="C75" s="1"/>
      <c r="D75" s="1"/>
      <c r="E75" s="1"/>
      <c r="F75" s="1"/>
    </row>
    <row r="76" spans="1:19">
      <c r="C76" s="1"/>
      <c r="D76" s="1">
        <f>ROUND(F24+F31+F52+F62,3)</f>
        <v>104.32899999999999</v>
      </c>
      <c r="E76" s="9" t="s">
        <v>155</v>
      </c>
      <c r="F76" s="1">
        <f>D76-14.7</f>
        <v>89.628999999999991</v>
      </c>
      <c r="G76" s="6" t="s">
        <v>117</v>
      </c>
    </row>
    <row r="77" spans="1:19">
      <c r="C77" s="1"/>
      <c r="D77" s="1"/>
      <c r="E77" s="1"/>
      <c r="F77" s="1"/>
    </row>
    <row r="78" spans="1:19">
      <c r="A78" s="4" t="s">
        <v>96</v>
      </c>
      <c r="B78" s="4"/>
      <c r="C78" s="1"/>
      <c r="D78" s="1"/>
      <c r="E78" s="1"/>
      <c r="F78" s="1"/>
    </row>
    <row r="79" spans="1:19">
      <c r="C79" s="1"/>
      <c r="D79" s="1"/>
      <c r="E79" s="1"/>
      <c r="F79" s="1"/>
    </row>
    <row r="80" spans="1:19">
      <c r="A80" s="4" t="s">
        <v>82</v>
      </c>
      <c r="B80" s="4"/>
      <c r="C80" s="1"/>
      <c r="D80" s="1">
        <v>4</v>
      </c>
      <c r="E80" s="1" t="s">
        <v>113</v>
      </c>
      <c r="F80" s="1"/>
    </row>
    <row r="81" spans="1:10">
      <c r="A81" t="s">
        <v>110</v>
      </c>
      <c r="C81" s="1"/>
      <c r="D81" s="1">
        <v>4.0259999999999998</v>
      </c>
      <c r="E81" s="1" t="s">
        <v>113</v>
      </c>
      <c r="F81" s="1"/>
    </row>
    <row r="82" spans="1:10">
      <c r="A82" t="s">
        <v>83</v>
      </c>
      <c r="C82" s="1"/>
      <c r="D82" s="1">
        <f>ROUND(0.408*$D$14/D81^2,2)</f>
        <v>13.09</v>
      </c>
      <c r="E82" s="1" t="s">
        <v>133</v>
      </c>
      <c r="F82" s="1"/>
    </row>
    <row r="83" spans="1:10">
      <c r="A83" t="s">
        <v>84</v>
      </c>
      <c r="C83" s="1"/>
      <c r="D83" s="1">
        <f>ROUND((0.0216*D$99*D$16*D$14^2)/D$81^5,4)</f>
        <v>3.2734000000000001</v>
      </c>
      <c r="E83" s="1" t="s">
        <v>127</v>
      </c>
      <c r="F83" s="1"/>
    </row>
    <row r="84" spans="1:10">
      <c r="C84" s="1"/>
      <c r="D84" s="1"/>
      <c r="E84" s="1"/>
      <c r="F84" s="1"/>
    </row>
    <row r="85" spans="1:10">
      <c r="C85" s="1"/>
      <c r="D85" s="1"/>
      <c r="E85" s="1"/>
      <c r="F85" s="1"/>
    </row>
    <row r="86" spans="1:10" ht="14.25">
      <c r="A86" t="s">
        <v>105</v>
      </c>
      <c r="C86" s="1"/>
      <c r="D86" s="1">
        <f>ROUND((D82^2/(2*32.2)),3)</f>
        <v>2.661</v>
      </c>
      <c r="E86" s="1" t="s">
        <v>116</v>
      </c>
      <c r="F86" s="1"/>
    </row>
    <row r="87" spans="1:10">
      <c r="A87" t="s">
        <v>63</v>
      </c>
      <c r="C87" s="1"/>
      <c r="D87" s="1">
        <f>ROUND((50.6*D$14*D$15*62.3)/(D81*D$18),0)</f>
        <v>2400724</v>
      </c>
      <c r="E87" s="1"/>
      <c r="F87" s="1"/>
    </row>
    <row r="88" spans="1:10">
      <c r="A88" t="s">
        <v>64</v>
      </c>
      <c r="C88" s="1"/>
      <c r="D88" s="1" t="str">
        <f>IF(D87&gt;=4000,"TURBULENT FLOW","LAMINAR FLOW")</f>
        <v>TURBULENT FLOW</v>
      </c>
      <c r="E88" s="1"/>
      <c r="F88" s="1"/>
    </row>
    <row r="89" spans="1:10">
      <c r="C89" s="1"/>
      <c r="D89" s="1"/>
      <c r="E89" s="1"/>
      <c r="F89" s="1"/>
    </row>
    <row r="90" spans="1:10">
      <c r="C90" s="1"/>
      <c r="D90" s="1"/>
      <c r="E90" s="1"/>
      <c r="F90" s="1"/>
    </row>
    <row r="91" spans="1:10">
      <c r="C91" s="1"/>
      <c r="D91" s="1"/>
      <c r="E91" s="1"/>
      <c r="F91" s="1"/>
    </row>
    <row r="92" spans="1:10" ht="14.25">
      <c r="A92" s="4" t="s">
        <v>100</v>
      </c>
      <c r="B92" s="4"/>
      <c r="C92" s="5"/>
      <c r="D92" s="1"/>
      <c r="E92" s="1"/>
      <c r="F92" s="1"/>
    </row>
    <row r="93" spans="1:10">
      <c r="A93" s="6" t="s">
        <v>178</v>
      </c>
      <c r="C93" s="1"/>
      <c r="D93" s="1">
        <f>$D$21/D11</f>
        <v>2.9678483099752678E-4</v>
      </c>
      <c r="E93" s="1"/>
      <c r="F93" s="1"/>
      <c r="G93" t="s">
        <v>106</v>
      </c>
      <c r="H93">
        <f>ROUND((2.457*LN(1/((7/D87)^0.9+(0.27*D93))))^16,3)</f>
        <v>5.6141987248260598E+21</v>
      </c>
      <c r="I93" t="s">
        <v>107</v>
      </c>
      <c r="J93">
        <f>(37530/D87)^16</f>
        <v>1.2722758530493012E-29</v>
      </c>
    </row>
    <row r="94" spans="1:10">
      <c r="A94" t="s">
        <v>0</v>
      </c>
      <c r="C94" s="1"/>
      <c r="D94" s="1">
        <f>ROUND(D93*1/3.7,5)</f>
        <v>8.0000000000000007E-5</v>
      </c>
      <c r="E94" s="1"/>
      <c r="F94" s="1"/>
    </row>
    <row r="95" spans="1:10">
      <c r="A95" t="s">
        <v>66</v>
      </c>
      <c r="C95" s="1"/>
      <c r="D95" s="1">
        <f>ROUND((6.7/D$87)^0.9,5)</f>
        <v>1.0000000000000001E-5</v>
      </c>
      <c r="E95" s="1"/>
      <c r="F95" s="1"/>
      <c r="G95" t="s">
        <v>108</v>
      </c>
      <c r="J95">
        <f>ROUND(8*((8/D87)^12+(1/(H93+J93)^1.5))^(1/12),4)</f>
        <v>1.5299999999999999E-2</v>
      </c>
    </row>
    <row r="96" spans="1:10" ht="15.75">
      <c r="A96" t="s">
        <v>67</v>
      </c>
      <c r="C96" s="1"/>
      <c r="D96" s="1">
        <f>ROUND(SUM(D94:D95),5)</f>
        <v>9.0000000000000006E-5</v>
      </c>
      <c r="E96" s="1"/>
      <c r="F96" s="1"/>
      <c r="G96" t="s">
        <v>112</v>
      </c>
      <c r="J96">
        <f>J95/4</f>
        <v>3.8249999999999998E-3</v>
      </c>
    </row>
    <row r="97" spans="1:6">
      <c r="A97" t="s">
        <v>68</v>
      </c>
      <c r="C97" s="1"/>
      <c r="D97" s="1">
        <f>-4*LOG(D$94-(5.02*LOG(D96)/D$87))</f>
        <v>16.21301571542147</v>
      </c>
      <c r="E97" s="1"/>
      <c r="F97" s="1"/>
    </row>
    <row r="98" spans="1:6">
      <c r="A98" t="s">
        <v>65</v>
      </c>
      <c r="C98" s="1"/>
      <c r="D98" s="1">
        <f>ROUND(1/(D97)^2,4)</f>
        <v>3.8E-3</v>
      </c>
      <c r="E98" s="1"/>
      <c r="F98" s="1"/>
    </row>
    <row r="99" spans="1:6" ht="15.75">
      <c r="A99" t="s">
        <v>99</v>
      </c>
      <c r="C99" s="1"/>
      <c r="D99" s="1">
        <f>4*D98</f>
        <v>1.52E-2</v>
      </c>
      <c r="E99" s="1"/>
      <c r="F99" s="1"/>
    </row>
    <row r="100" spans="1:6">
      <c r="C100" s="1"/>
      <c r="D100" s="1"/>
      <c r="E100" s="1"/>
      <c r="F100" s="1"/>
    </row>
    <row r="101" spans="1:6">
      <c r="C101" s="1"/>
      <c r="D101" s="1"/>
      <c r="E101" s="1"/>
      <c r="F101" s="1"/>
    </row>
    <row r="102" spans="1:6">
      <c r="A102" s="4" t="s">
        <v>88</v>
      </c>
      <c r="B102" s="4"/>
      <c r="C102" s="1"/>
      <c r="D102" s="1">
        <v>8</v>
      </c>
      <c r="E102" s="1" t="s">
        <v>113</v>
      </c>
      <c r="F102" s="1"/>
    </row>
    <row r="103" spans="1:6">
      <c r="A103" t="s">
        <v>111</v>
      </c>
      <c r="C103" s="1"/>
      <c r="D103" s="1">
        <v>7.9809999999999999</v>
      </c>
      <c r="E103" s="1" t="s">
        <v>113</v>
      </c>
      <c r="F103" s="1"/>
    </row>
    <row r="104" spans="1:6">
      <c r="A104" t="s">
        <v>85</v>
      </c>
      <c r="C104" s="1"/>
      <c r="D104" s="1">
        <f>ROUND(0.408*$D$14/D103^2,2)</f>
        <v>3.33</v>
      </c>
      <c r="E104" s="1" t="s">
        <v>133</v>
      </c>
      <c r="F104" s="1"/>
    </row>
    <row r="105" spans="1:6">
      <c r="A105" t="s">
        <v>86</v>
      </c>
      <c r="C105" s="1"/>
      <c r="D105" s="1">
        <f>ROUND((0.0216*D120*D$16*D$14^2)/D103^5,4)</f>
        <v>0.1041</v>
      </c>
      <c r="E105" s="1" t="s">
        <v>134</v>
      </c>
      <c r="F105" s="1"/>
    </row>
    <row r="106" spans="1:6">
      <c r="C106" s="1"/>
      <c r="D106" s="1"/>
      <c r="E106" s="1"/>
      <c r="F106" s="1"/>
    </row>
    <row r="107" spans="1:6" ht="14.25">
      <c r="A107" t="s">
        <v>104</v>
      </c>
      <c r="C107" s="1"/>
      <c r="D107" s="1">
        <f>ROUND((D104^2/(2*32.2)),3)</f>
        <v>0.17199999999999999</v>
      </c>
      <c r="E107" s="1" t="s">
        <v>116</v>
      </c>
      <c r="F107" s="1"/>
    </row>
    <row r="108" spans="1:6">
      <c r="A108" t="s">
        <v>63</v>
      </c>
      <c r="C108" s="1"/>
      <c r="D108" s="1">
        <f>ROUND((50.6*D$14*D$15*62.3)/(D103*D$18),0)</f>
        <v>1211041</v>
      </c>
      <c r="E108" s="1"/>
      <c r="F108" s="1"/>
    </row>
    <row r="109" spans="1:6">
      <c r="A109" t="s">
        <v>64</v>
      </c>
      <c r="C109" s="1"/>
      <c r="D109" s="1" t="str">
        <f>IF(D108&gt;=4000,"TURBULENT FLOW","LAMINAR FLOW")</f>
        <v>TURBULENT FLOW</v>
      </c>
      <c r="E109" s="1"/>
      <c r="F109" s="1"/>
    </row>
    <row r="110" spans="1:6">
      <c r="C110" s="1"/>
      <c r="D110" s="1"/>
      <c r="E110" s="1"/>
      <c r="F110" s="1"/>
    </row>
    <row r="111" spans="1:6">
      <c r="C111" s="1"/>
      <c r="D111" s="1"/>
      <c r="E111" s="1"/>
      <c r="F111" s="1"/>
    </row>
    <row r="112" spans="1:6">
      <c r="C112" s="1"/>
      <c r="D112" s="1"/>
      <c r="E112" s="1"/>
      <c r="F112" s="1"/>
    </row>
    <row r="113" spans="1:10" ht="14.25">
      <c r="A113" s="4" t="s">
        <v>100</v>
      </c>
      <c r="B113" s="4"/>
      <c r="C113" s="5"/>
      <c r="D113" s="1"/>
      <c r="E113" s="1"/>
      <c r="F113" s="1"/>
    </row>
    <row r="114" spans="1:10">
      <c r="A114" s="6" t="s">
        <v>178</v>
      </c>
      <c r="C114" s="1"/>
      <c r="D114" s="1">
        <f>$D$21/D103</f>
        <v>2.2553564716200976E-4</v>
      </c>
      <c r="E114" s="1"/>
      <c r="F114" s="1"/>
      <c r="G114" t="s">
        <v>106</v>
      </c>
      <c r="H114">
        <f>ROUND((2.457*LN(1/((7/D108)^0.9+(0.27*D114))))^16,3)</f>
        <v>6.9082731465677304E+21</v>
      </c>
      <c r="I114" t="s">
        <v>107</v>
      </c>
      <c r="J114">
        <f>(37530/D108)^16</f>
        <v>7.2362820569317612E-25</v>
      </c>
    </row>
    <row r="115" spans="1:10">
      <c r="A115" t="s">
        <v>0</v>
      </c>
      <c r="C115" s="1"/>
      <c r="D115" s="1">
        <f>ROUND(D114*1/3.7,5)</f>
        <v>6.0000000000000002E-5</v>
      </c>
      <c r="E115" s="1"/>
      <c r="F115" s="1"/>
    </row>
    <row r="116" spans="1:10">
      <c r="A116" t="s">
        <v>66</v>
      </c>
      <c r="C116" s="1"/>
      <c r="D116" s="1">
        <f>ROUND((6.7/$D108)^0.9,5)</f>
        <v>2.0000000000000002E-5</v>
      </c>
      <c r="E116" s="1"/>
      <c r="F116" s="1"/>
      <c r="G116" t="s">
        <v>108</v>
      </c>
      <c r="J116">
        <f>ROUND(8*((8/D108)^12+(1/(H114+J114)^1.5))^(1/12),4)</f>
        <v>1.49E-2</v>
      </c>
    </row>
    <row r="117" spans="1:10" ht="15.75">
      <c r="A117" t="s">
        <v>67</v>
      </c>
      <c r="C117" s="1"/>
      <c r="D117" s="1">
        <f>ROUND(SUM(D115:D116),5)</f>
        <v>8.0000000000000007E-5</v>
      </c>
      <c r="E117" s="1"/>
      <c r="G117" t="s">
        <v>112</v>
      </c>
      <c r="J117">
        <f>J116/4</f>
        <v>3.725E-3</v>
      </c>
    </row>
    <row r="118" spans="1:10">
      <c r="A118" t="s">
        <v>68</v>
      </c>
      <c r="C118" s="1"/>
      <c r="D118" s="1">
        <f>-4*LOG(D115-(5.02*LOG(D117)/D$108))</f>
        <v>16.454432246486473</v>
      </c>
      <c r="E118" s="1"/>
    </row>
    <row r="119" spans="1:10">
      <c r="A119" t="s">
        <v>65</v>
      </c>
      <c r="C119" s="1"/>
      <c r="D119" s="1">
        <f>ROUND(1/(D118)^2,4)</f>
        <v>3.7000000000000002E-3</v>
      </c>
      <c r="E119" s="1"/>
    </row>
    <row r="120" spans="1:10" ht="15.75">
      <c r="A120" t="s">
        <v>99</v>
      </c>
      <c r="C120" s="1"/>
      <c r="D120" s="1">
        <f>4*D119</f>
        <v>1.4800000000000001E-2</v>
      </c>
      <c r="E120" s="1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legacyDrawing r:id="rId2"/>
  <oleObjects>
    <oleObject progId="Equation.DSMT4" shapeId="1025" r:id="rId3"/>
    <oleObject progId="Equation.DSMT4" shapeId="1027" r:id="rId4"/>
    <oleObject progId="Equation.DSMT4" shapeId="1028" r:id="rId5"/>
    <oleObject progId="Equation.DSMT4" shapeId="1029" r:id="rId6"/>
    <oleObject progId="Equation.DSMT4" shapeId="1030" r:id="rId7"/>
    <oleObject progId="Equation.DSMT4" shapeId="1031" r:id="rId8"/>
    <oleObject progId="Equation.DSMT4" shapeId="1032" r:id="rId9"/>
    <oleObject progId="Equation.DSMT4" shapeId="1033" r:id="rId10"/>
    <oleObject progId="Equation.DSMT4" shapeId="1034" r:id="rId11"/>
    <oleObject progId="Equation.DSMT4" shapeId="1035" r:id="rId12"/>
    <oleObject progId="Equation.DSMT4" shapeId="1036" r:id="rId13"/>
    <oleObject progId="Equation.DSMT4" shapeId="1037" r:id="rId14"/>
    <oleObject progId="Equation.DSMT4" shapeId="1039" r:id="rId15"/>
    <oleObject progId="Equation.DSMT4" shapeId="1040" r:id="rId16"/>
    <oleObject progId="Equation.DSMT4" shapeId="1041" r:id="rId17"/>
    <oleObject progId="Equation.DSMT4" shapeId="1042" r:id="rId18"/>
    <oleObject progId="Equation.DSMT4" shapeId="1043" r:id="rId19"/>
    <oleObject progId="Equation.DSMT4" shapeId="1044" r:id="rId20"/>
    <oleObject progId="Equation.DSMT4" shapeId="1045" r:id="rId21"/>
    <oleObject progId="Equation.DSMT4" shapeId="1046" r:id="rId22"/>
    <oleObject progId="Visio.Drawing.11" shapeId="1049" r:id="rId2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D120"/>
  <sheetViews>
    <sheetView zoomScale="90" zoomScaleNormal="90" workbookViewId="0">
      <selection activeCell="C33" sqref="C33"/>
    </sheetView>
  </sheetViews>
  <sheetFormatPr defaultRowHeight="12.75"/>
  <cols>
    <col min="1" max="1" width="32.85546875" customWidth="1"/>
    <col min="2" max="2" width="16.85546875" customWidth="1"/>
    <col min="3" max="3" width="15.7109375" customWidth="1"/>
    <col min="4" max="4" width="17.28515625" customWidth="1"/>
    <col min="5" max="5" width="19" bestFit="1" customWidth="1"/>
    <col min="7" max="7" width="17.42578125" customWidth="1"/>
    <col min="8" max="8" width="35.140625" bestFit="1" customWidth="1"/>
    <col min="9" max="9" width="14" customWidth="1"/>
    <col min="12" max="12" width="17.28515625" bestFit="1" customWidth="1"/>
    <col min="13" max="13" width="31.42578125" bestFit="1" customWidth="1"/>
    <col min="14" max="14" width="41" customWidth="1"/>
    <col min="15" max="15" width="11.5703125" customWidth="1"/>
    <col min="16" max="16" width="12.140625" customWidth="1"/>
    <col min="17" max="17" width="11.5703125" customWidth="1"/>
    <col min="18" max="18" width="11.140625" customWidth="1"/>
    <col min="23" max="23" width="16.42578125" customWidth="1"/>
    <col min="24" max="24" width="20.28515625" customWidth="1"/>
  </cols>
  <sheetData>
    <row r="1" spans="1:17" ht="18">
      <c r="A1" s="17" t="s">
        <v>192</v>
      </c>
      <c r="B1" s="18"/>
      <c r="C1" s="18"/>
      <c r="D1" s="18"/>
      <c r="E1" s="18"/>
      <c r="F1" s="18"/>
      <c r="G1" s="18"/>
      <c r="H1" s="18"/>
      <c r="I1" s="18"/>
      <c r="J1" s="18"/>
    </row>
    <row r="2" spans="1:17" ht="18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7" ht="18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7" ht="18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</row>
    <row r="5" spans="1:17" ht="18.75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  <c r="L5" s="11"/>
      <c r="M5" s="11"/>
      <c r="N5" s="11"/>
      <c r="O5" s="11"/>
      <c r="P5" s="11"/>
      <c r="Q5" s="11"/>
    </row>
    <row r="6" spans="1:17" ht="18.75">
      <c r="A6" s="18" t="s">
        <v>4</v>
      </c>
      <c r="B6" s="18"/>
      <c r="C6" s="18"/>
      <c r="D6" s="18"/>
      <c r="E6" s="18" t="s">
        <v>180</v>
      </c>
      <c r="G6" s="18"/>
      <c r="H6" s="18"/>
      <c r="I6" s="18"/>
      <c r="J6" s="18"/>
      <c r="L6" s="12"/>
      <c r="M6" s="12"/>
      <c r="N6" s="13" t="s">
        <v>193</v>
      </c>
      <c r="O6" s="13"/>
      <c r="P6" s="13"/>
      <c r="Q6" s="12"/>
    </row>
    <row r="7" spans="1:17" ht="18.75">
      <c r="A7" s="18"/>
      <c r="B7" s="18"/>
      <c r="C7" s="18"/>
      <c r="D7" s="18"/>
      <c r="E7" s="18"/>
      <c r="F7" s="18"/>
      <c r="G7" s="18"/>
      <c r="H7" s="18"/>
      <c r="I7" s="18"/>
      <c r="J7" s="18"/>
      <c r="L7" s="12"/>
      <c r="M7" s="12" t="s">
        <v>109</v>
      </c>
      <c r="N7" s="12"/>
      <c r="O7" s="13"/>
      <c r="P7" s="13"/>
      <c r="Q7" s="13"/>
    </row>
    <row r="8" spans="1:17" ht="18.75">
      <c r="A8" s="17" t="s">
        <v>59</v>
      </c>
      <c r="B8" s="18"/>
      <c r="C8" s="18"/>
      <c r="D8" s="18"/>
      <c r="E8" s="18"/>
      <c r="F8" s="18"/>
      <c r="G8" s="18"/>
      <c r="H8" s="18"/>
      <c r="I8" s="18"/>
      <c r="J8" s="18"/>
      <c r="L8" s="13"/>
      <c r="M8" s="13"/>
      <c r="N8" s="13"/>
      <c r="O8" s="13"/>
      <c r="P8" s="13"/>
      <c r="Q8" s="13"/>
    </row>
    <row r="9" spans="1:17" ht="18.75">
      <c r="A9" s="18"/>
      <c r="B9" s="18"/>
      <c r="C9" s="18"/>
      <c r="D9" s="18"/>
      <c r="E9" s="18"/>
      <c r="F9" s="18"/>
      <c r="G9" s="18"/>
      <c r="H9" s="18"/>
      <c r="I9" s="18"/>
      <c r="J9" s="18"/>
      <c r="L9" s="13"/>
      <c r="M9" s="13"/>
      <c r="N9" s="13"/>
      <c r="O9" s="13"/>
      <c r="P9" s="13"/>
      <c r="Q9" s="13"/>
    </row>
    <row r="10" spans="1:17" ht="18.75">
      <c r="A10" s="26" t="s">
        <v>60</v>
      </c>
      <c r="B10" s="26"/>
      <c r="C10" s="27" t="s">
        <v>148</v>
      </c>
      <c r="D10" s="27" t="s">
        <v>149</v>
      </c>
      <c r="E10" s="27"/>
      <c r="F10" s="27"/>
      <c r="G10" s="26"/>
      <c r="H10" s="26"/>
      <c r="I10" s="26"/>
      <c r="J10" s="18"/>
      <c r="L10" s="13"/>
      <c r="M10" s="13"/>
      <c r="N10" s="13"/>
      <c r="O10" s="13"/>
      <c r="P10" s="13"/>
      <c r="Q10" s="13"/>
    </row>
    <row r="11" spans="1:17" ht="18.75">
      <c r="A11" s="26" t="s">
        <v>136</v>
      </c>
      <c r="B11" s="26"/>
      <c r="C11" s="27" t="s">
        <v>191</v>
      </c>
      <c r="D11" s="27">
        <v>4.0259999999999998</v>
      </c>
      <c r="E11" s="27" t="s">
        <v>113</v>
      </c>
      <c r="F11" s="27"/>
      <c r="G11" s="26"/>
      <c r="H11" s="26"/>
      <c r="I11" s="26"/>
      <c r="J11" s="18"/>
      <c r="L11" s="13"/>
      <c r="M11" s="13"/>
      <c r="N11" s="13"/>
      <c r="O11" s="13"/>
      <c r="P11" s="13"/>
      <c r="Q11" s="13"/>
    </row>
    <row r="12" spans="1:17" ht="20.25">
      <c r="A12" s="26" t="s">
        <v>135</v>
      </c>
      <c r="B12" s="26"/>
      <c r="C12" s="27" t="s">
        <v>101</v>
      </c>
      <c r="D12" s="27">
        <v>4</v>
      </c>
      <c r="E12" s="27" t="s">
        <v>113</v>
      </c>
      <c r="F12" s="27"/>
      <c r="G12" s="26"/>
      <c r="H12" s="26"/>
      <c r="I12" s="26"/>
      <c r="J12" s="18"/>
      <c r="L12" s="13" t="s">
        <v>11</v>
      </c>
      <c r="M12" s="13" t="s">
        <v>5</v>
      </c>
      <c r="N12" s="13"/>
      <c r="O12" s="13" t="s">
        <v>152</v>
      </c>
      <c r="P12" s="13" t="s">
        <v>153</v>
      </c>
      <c r="Q12" s="13" t="s">
        <v>154</v>
      </c>
    </row>
    <row r="13" spans="1:17" ht="18.75">
      <c r="A13" s="26" t="s">
        <v>87</v>
      </c>
      <c r="B13" s="26"/>
      <c r="C13" s="27"/>
      <c r="D13" s="27">
        <v>40</v>
      </c>
      <c r="E13" s="27"/>
      <c r="F13" s="27"/>
      <c r="G13" s="26"/>
      <c r="H13" s="26"/>
      <c r="I13" s="26"/>
      <c r="J13" s="18"/>
      <c r="L13" s="13"/>
      <c r="M13" s="13"/>
      <c r="N13" s="13"/>
      <c r="O13" s="13"/>
      <c r="P13" s="13"/>
      <c r="Q13" s="13"/>
    </row>
    <row r="14" spans="1:17" ht="18.75">
      <c r="A14" s="26" t="s">
        <v>123</v>
      </c>
      <c r="B14" s="26"/>
      <c r="C14" s="27" t="s">
        <v>90</v>
      </c>
      <c r="D14" s="27">
        <v>520</v>
      </c>
      <c r="E14" s="27" t="s">
        <v>114</v>
      </c>
      <c r="F14" s="27"/>
      <c r="G14" s="26"/>
      <c r="H14" s="26"/>
      <c r="I14" s="26"/>
      <c r="J14" s="18"/>
      <c r="L14" s="13" t="s">
        <v>14</v>
      </c>
      <c r="M14" s="13" t="s">
        <v>6</v>
      </c>
      <c r="N14" s="13" t="s">
        <v>7</v>
      </c>
      <c r="O14" s="13">
        <v>800</v>
      </c>
      <c r="P14" s="13">
        <v>0.14000000000000001</v>
      </c>
      <c r="Q14" s="13">
        <v>4</v>
      </c>
    </row>
    <row r="15" spans="1:17" ht="18.75">
      <c r="A15" s="26" t="s">
        <v>62</v>
      </c>
      <c r="B15" s="26"/>
      <c r="C15" s="27" t="s">
        <v>91</v>
      </c>
      <c r="D15" s="27">
        <v>0.625</v>
      </c>
      <c r="E15" s="27"/>
      <c r="F15" s="27"/>
      <c r="G15" s="26"/>
      <c r="H15" s="26"/>
      <c r="I15" s="26"/>
      <c r="J15" s="18"/>
      <c r="L15" s="13"/>
      <c r="M15" s="13" t="s">
        <v>8</v>
      </c>
      <c r="N15" s="13" t="s">
        <v>9</v>
      </c>
      <c r="O15" s="13">
        <v>800</v>
      </c>
      <c r="P15" s="13">
        <v>7.0999999999999994E-2</v>
      </c>
      <c r="Q15" s="13">
        <v>4.2</v>
      </c>
    </row>
    <row r="16" spans="1:17" ht="22.5">
      <c r="A16" s="26" t="s">
        <v>124</v>
      </c>
      <c r="B16" s="26"/>
      <c r="C16" s="27"/>
      <c r="D16" s="27">
        <f>(62.4*D15)</f>
        <v>39</v>
      </c>
      <c r="E16" s="27" t="s">
        <v>165</v>
      </c>
      <c r="F16" s="27"/>
      <c r="G16" s="26"/>
      <c r="H16" s="26"/>
      <c r="I16" s="26"/>
      <c r="J16" s="18"/>
      <c r="L16" s="13"/>
      <c r="M16" s="13" t="s">
        <v>10</v>
      </c>
      <c r="N16" s="13" t="s">
        <v>16</v>
      </c>
      <c r="O16" s="13">
        <v>800</v>
      </c>
      <c r="P16" s="13">
        <v>9.0999999999999998E-2</v>
      </c>
      <c r="Q16" s="13">
        <v>4</v>
      </c>
    </row>
    <row r="17" spans="1:17" ht="18.75">
      <c r="A17" s="26" t="s">
        <v>123</v>
      </c>
      <c r="B17" s="26"/>
      <c r="C17" s="27" t="s">
        <v>92</v>
      </c>
      <c r="D17" s="27">
        <f>ROUND((D16*D14*60/7.48),2)</f>
        <v>162673.79999999999</v>
      </c>
      <c r="E17" s="27" t="s">
        <v>129</v>
      </c>
      <c r="F17" s="27"/>
      <c r="G17" s="26"/>
      <c r="H17" s="26"/>
      <c r="I17" s="26"/>
      <c r="J17" s="18"/>
      <c r="L17" s="13"/>
      <c r="M17" s="13"/>
      <c r="N17" s="13" t="s">
        <v>17</v>
      </c>
      <c r="O17" s="13">
        <v>800</v>
      </c>
      <c r="P17" s="13">
        <v>5.6000000000000001E-2</v>
      </c>
      <c r="Q17" s="13">
        <v>3.9</v>
      </c>
    </row>
    <row r="18" spans="1:17" ht="18.75">
      <c r="A18" s="26" t="s">
        <v>125</v>
      </c>
      <c r="B18" s="26"/>
      <c r="C18" s="27"/>
      <c r="D18" s="27">
        <v>0.106</v>
      </c>
      <c r="E18" s="27" t="s">
        <v>115</v>
      </c>
      <c r="F18" s="27"/>
      <c r="G18" s="26"/>
      <c r="H18" s="26"/>
      <c r="I18" s="26"/>
      <c r="J18" s="18"/>
      <c r="L18" s="13"/>
      <c r="M18" s="13"/>
      <c r="N18" s="13" t="s">
        <v>18</v>
      </c>
      <c r="O18" s="13">
        <v>800</v>
      </c>
      <c r="P18" s="13">
        <v>6.6000000000000003E-2</v>
      </c>
      <c r="Q18" s="13">
        <v>3.9</v>
      </c>
    </row>
    <row r="19" spans="1:17" ht="18.75">
      <c r="A19" s="26" t="s">
        <v>122</v>
      </c>
      <c r="B19" s="26"/>
      <c r="C19" s="27" t="s">
        <v>93</v>
      </c>
      <c r="D19" s="27">
        <v>176</v>
      </c>
      <c r="E19" s="27" t="s">
        <v>126</v>
      </c>
      <c r="F19" s="27"/>
      <c r="G19" s="26"/>
      <c r="H19" s="26"/>
      <c r="I19" s="26"/>
      <c r="J19" s="18"/>
      <c r="L19" s="13"/>
      <c r="M19" s="13"/>
      <c r="N19" s="13" t="s">
        <v>19</v>
      </c>
      <c r="O19" s="13">
        <v>800</v>
      </c>
      <c r="P19" s="13">
        <v>7.4999999999999997E-2</v>
      </c>
      <c r="Q19" s="13">
        <v>4.2</v>
      </c>
    </row>
    <row r="20" spans="1:17" ht="18.75">
      <c r="A20" s="26" t="s">
        <v>121</v>
      </c>
      <c r="B20" s="26"/>
      <c r="C20" s="27"/>
      <c r="D20" s="27">
        <v>125</v>
      </c>
      <c r="E20" s="27" t="s">
        <v>126</v>
      </c>
      <c r="F20" s="27"/>
      <c r="G20" s="26"/>
      <c r="H20" s="26"/>
      <c r="I20" s="26"/>
      <c r="J20" s="18"/>
      <c r="L20" s="13"/>
      <c r="M20" s="13" t="s">
        <v>20</v>
      </c>
      <c r="N20" s="13" t="s">
        <v>21</v>
      </c>
      <c r="O20" s="13">
        <v>1000</v>
      </c>
      <c r="P20" s="13">
        <v>0.27</v>
      </c>
      <c r="Q20" s="13">
        <v>4</v>
      </c>
    </row>
    <row r="21" spans="1:17" ht="18.75">
      <c r="A21" s="26" t="s">
        <v>120</v>
      </c>
      <c r="B21" s="26"/>
      <c r="C21" s="27"/>
      <c r="D21" s="27">
        <v>1.8E-3</v>
      </c>
      <c r="E21" s="27" t="s">
        <v>113</v>
      </c>
      <c r="F21" s="27"/>
      <c r="G21" s="26"/>
      <c r="H21" s="26"/>
      <c r="I21" s="26"/>
      <c r="J21" s="18"/>
      <c r="L21" s="13"/>
      <c r="M21" s="13"/>
      <c r="N21" s="13" t="s">
        <v>22</v>
      </c>
      <c r="O21" s="13">
        <v>800</v>
      </c>
      <c r="P21" s="13">
        <v>6.8000000000000005E-2</v>
      </c>
      <c r="Q21" s="13">
        <v>4.0999999999999996</v>
      </c>
    </row>
    <row r="22" spans="1:17" ht="21.75">
      <c r="A22" s="26" t="s">
        <v>98</v>
      </c>
      <c r="B22" s="26"/>
      <c r="C22" s="27" t="s">
        <v>89</v>
      </c>
      <c r="D22" s="27">
        <v>32.200000000000003</v>
      </c>
      <c r="E22" s="27" t="s">
        <v>166</v>
      </c>
      <c r="F22" s="27"/>
      <c r="G22" s="26"/>
      <c r="H22" s="26"/>
      <c r="I22" s="26"/>
      <c r="J22" s="18"/>
      <c r="L22" s="13"/>
      <c r="M22" s="13"/>
      <c r="N22" s="13" t="s">
        <v>23</v>
      </c>
      <c r="O22" s="13">
        <v>800</v>
      </c>
      <c r="P22" s="13">
        <v>3.5000000000000003E-2</v>
      </c>
      <c r="Q22" s="13">
        <v>4.2</v>
      </c>
    </row>
    <row r="23" spans="1:17" ht="22.5">
      <c r="A23" s="26" t="s">
        <v>119</v>
      </c>
      <c r="B23" s="26"/>
      <c r="C23" s="27" t="s">
        <v>167</v>
      </c>
      <c r="D23" s="27">
        <v>32.173999999999999</v>
      </c>
      <c r="E23" s="27" t="s">
        <v>168</v>
      </c>
      <c r="F23" s="27"/>
      <c r="G23" s="26"/>
      <c r="H23" s="26"/>
      <c r="I23" s="26"/>
      <c r="J23" s="18"/>
      <c r="L23" s="13" t="s">
        <v>24</v>
      </c>
      <c r="M23" s="13" t="s">
        <v>6</v>
      </c>
      <c r="N23" s="13" t="s">
        <v>16</v>
      </c>
      <c r="O23" s="13">
        <v>500</v>
      </c>
      <c r="P23" s="13">
        <v>7.0999999999999994E-2</v>
      </c>
      <c r="Q23" s="13">
        <v>4.2</v>
      </c>
    </row>
    <row r="24" spans="1:17" ht="18.75">
      <c r="A24" s="26" t="s">
        <v>137</v>
      </c>
      <c r="B24" s="26"/>
      <c r="C24" s="27"/>
      <c r="D24" s="27">
        <v>90</v>
      </c>
      <c r="E24" s="27" t="s">
        <v>117</v>
      </c>
      <c r="F24" s="27">
        <f>(D24+14.7)</f>
        <v>104.7</v>
      </c>
      <c r="G24" s="26" t="s">
        <v>155</v>
      </c>
      <c r="H24" s="26">
        <f>ROUND(F24*144/D16,2)</f>
        <v>386.58</v>
      </c>
      <c r="I24" s="27" t="s">
        <v>150</v>
      </c>
      <c r="J24" s="18"/>
      <c r="L24" s="13"/>
      <c r="M24" s="13" t="s">
        <v>25</v>
      </c>
      <c r="N24" s="13" t="s">
        <v>28</v>
      </c>
      <c r="O24" s="13">
        <v>500</v>
      </c>
      <c r="P24" s="13">
        <v>5.1999999999999998E-2</v>
      </c>
      <c r="Q24" s="13">
        <v>4</v>
      </c>
    </row>
    <row r="25" spans="1:17" ht="21.75">
      <c r="A25" s="26" t="s">
        <v>145</v>
      </c>
      <c r="B25" s="26"/>
      <c r="C25" s="27" t="s">
        <v>143</v>
      </c>
      <c r="D25" s="27">
        <v>106</v>
      </c>
      <c r="E25" s="27" t="s">
        <v>169</v>
      </c>
      <c r="F25" s="27"/>
      <c r="G25" s="26"/>
      <c r="H25" s="26"/>
      <c r="I25" s="26"/>
      <c r="J25" s="18"/>
      <c r="L25" s="13"/>
      <c r="M25" s="13" t="s">
        <v>26</v>
      </c>
      <c r="N25" s="13" t="s">
        <v>29</v>
      </c>
      <c r="O25" s="13">
        <v>500</v>
      </c>
      <c r="P25" s="13">
        <v>8.5999999999999993E-2</v>
      </c>
      <c r="Q25" s="13">
        <v>4</v>
      </c>
    </row>
    <row r="26" spans="1:17" ht="18.75">
      <c r="A26" s="18"/>
      <c r="B26" s="18"/>
      <c r="C26" s="19"/>
      <c r="D26" s="19"/>
      <c r="E26" s="19"/>
      <c r="F26" s="19"/>
      <c r="G26" s="18"/>
      <c r="H26" s="18"/>
      <c r="I26" s="18"/>
      <c r="J26" s="18"/>
      <c r="L26" s="13"/>
      <c r="M26" s="13" t="s">
        <v>27</v>
      </c>
      <c r="N26" s="13" t="s">
        <v>30</v>
      </c>
      <c r="O26" s="13">
        <v>500</v>
      </c>
      <c r="P26" s="13">
        <v>5.1999999999999998E-2</v>
      </c>
      <c r="Q26" s="13">
        <v>4</v>
      </c>
    </row>
    <row r="27" spans="1:17" ht="18.75">
      <c r="A27" s="17" t="s">
        <v>61</v>
      </c>
      <c r="B27" s="18"/>
      <c r="C27" s="19"/>
      <c r="D27" s="19"/>
      <c r="E27" s="19"/>
      <c r="F27" s="19"/>
      <c r="G27" s="18"/>
      <c r="H27" s="18"/>
      <c r="I27" s="18"/>
      <c r="J27" s="18"/>
      <c r="L27" s="13" t="s">
        <v>31</v>
      </c>
      <c r="M27" s="13" t="s">
        <v>32</v>
      </c>
      <c r="N27" s="13"/>
      <c r="O27" s="13"/>
      <c r="P27" s="13"/>
      <c r="Q27" s="13"/>
    </row>
    <row r="28" spans="1:17" ht="18.75">
      <c r="A28" s="18"/>
      <c r="B28" s="18"/>
      <c r="C28" s="19"/>
      <c r="D28" s="19"/>
      <c r="E28" s="19"/>
      <c r="F28" s="19"/>
      <c r="G28" s="18"/>
      <c r="H28" s="18"/>
      <c r="I28" s="18"/>
      <c r="J28" s="18"/>
      <c r="L28" s="13"/>
      <c r="M28" s="13" t="s">
        <v>33</v>
      </c>
      <c r="N28" s="13" t="s">
        <v>16</v>
      </c>
      <c r="O28" s="13">
        <v>1000</v>
      </c>
      <c r="P28" s="13">
        <v>0.23</v>
      </c>
      <c r="Q28" s="13">
        <v>4</v>
      </c>
    </row>
    <row r="29" spans="1:17" ht="21.75">
      <c r="A29" s="18" t="s">
        <v>139</v>
      </c>
      <c r="B29" s="18"/>
      <c r="C29" s="19"/>
      <c r="D29" s="19">
        <f>ROUND(PI()*(D11/12)^2/4,4)</f>
        <v>8.8400000000000006E-2</v>
      </c>
      <c r="E29" s="19" t="s">
        <v>170</v>
      </c>
      <c r="F29" s="19"/>
      <c r="G29" s="18"/>
      <c r="H29" s="18"/>
      <c r="I29" s="18"/>
      <c r="J29" s="18"/>
      <c r="L29" s="13" t="s">
        <v>34</v>
      </c>
      <c r="M29" s="13" t="s">
        <v>35</v>
      </c>
      <c r="N29" s="13" t="s">
        <v>16</v>
      </c>
      <c r="O29" s="13">
        <v>1000</v>
      </c>
      <c r="P29" s="13">
        <v>0.12</v>
      </c>
      <c r="Q29" s="13">
        <v>4</v>
      </c>
    </row>
    <row r="30" spans="1:17" ht="18.75">
      <c r="A30" s="18" t="s">
        <v>138</v>
      </c>
      <c r="B30" s="18"/>
      <c r="C30" s="19"/>
      <c r="D30" s="19">
        <f>ROUND(0.408*$D$14/D11^2,2)</f>
        <v>13.09</v>
      </c>
      <c r="E30" s="19" t="s">
        <v>128</v>
      </c>
      <c r="F30" s="19"/>
      <c r="G30" s="18"/>
      <c r="H30" s="18"/>
      <c r="I30" s="18"/>
      <c r="J30" s="18"/>
      <c r="L30" s="13"/>
      <c r="M30" s="13" t="s">
        <v>36</v>
      </c>
      <c r="N30" s="13" t="s">
        <v>28</v>
      </c>
      <c r="O30" s="13">
        <v>1000</v>
      </c>
      <c r="P30" s="13">
        <v>0.1</v>
      </c>
      <c r="Q30" s="13">
        <v>4</v>
      </c>
    </row>
    <row r="31" spans="1:17" ht="22.5">
      <c r="A31" s="18" t="s">
        <v>171</v>
      </c>
      <c r="B31" s="18"/>
      <c r="C31" s="19"/>
      <c r="D31" s="19">
        <f>ROUND(-(D30^2/(2*32.2)),3)</f>
        <v>-2.661</v>
      </c>
      <c r="E31" s="19" t="s">
        <v>150</v>
      </c>
      <c r="F31" s="19">
        <f>ROUND(D31*D16/144,4)</f>
        <v>-0.72070000000000001</v>
      </c>
      <c r="G31" s="18" t="s">
        <v>94</v>
      </c>
      <c r="H31" s="18"/>
      <c r="I31" s="18"/>
      <c r="J31" s="18"/>
      <c r="L31" s="13" t="s">
        <v>37</v>
      </c>
      <c r="M31" s="13" t="s">
        <v>38</v>
      </c>
      <c r="N31" s="13"/>
      <c r="O31" s="13"/>
      <c r="P31" s="13"/>
      <c r="Q31" s="13"/>
    </row>
    <row r="32" spans="1:17" ht="18.75">
      <c r="A32" s="18" t="s">
        <v>95</v>
      </c>
      <c r="B32" s="18"/>
      <c r="C32" s="19"/>
      <c r="D32" s="19">
        <f>ROUND(D19*12/D11,3)</f>
        <v>524.59</v>
      </c>
      <c r="E32" s="19"/>
      <c r="F32" s="19"/>
      <c r="G32" s="18"/>
      <c r="H32" s="18"/>
      <c r="I32" s="18"/>
      <c r="J32" s="18"/>
      <c r="L32" s="13"/>
      <c r="M32" s="13" t="s">
        <v>39</v>
      </c>
      <c r="N32" s="13"/>
      <c r="O32" s="13"/>
      <c r="P32" s="13"/>
      <c r="Q32" s="13"/>
    </row>
    <row r="33" spans="1:17" ht="18.75">
      <c r="A33" s="18" t="s">
        <v>63</v>
      </c>
      <c r="B33" s="18"/>
      <c r="C33" s="19"/>
      <c r="D33" s="19">
        <f>ROUND((50.6*D14*D15*62.3)/(D11*D18),0)</f>
        <v>2400724</v>
      </c>
      <c r="E33" s="19"/>
      <c r="F33" s="19"/>
      <c r="G33" s="18"/>
      <c r="H33" s="18"/>
      <c r="I33" s="18"/>
      <c r="J33" s="18"/>
      <c r="L33" s="13"/>
      <c r="M33" s="13" t="s">
        <v>40</v>
      </c>
      <c r="N33" s="13" t="s">
        <v>16</v>
      </c>
      <c r="O33" s="13">
        <v>500</v>
      </c>
      <c r="P33" s="13">
        <v>0.27400000000000002</v>
      </c>
      <c r="Q33" s="13">
        <v>4</v>
      </c>
    </row>
    <row r="34" spans="1:17" ht="18.75">
      <c r="A34" s="18" t="s">
        <v>64</v>
      </c>
      <c r="B34" s="18"/>
      <c r="C34" s="19"/>
      <c r="D34" s="19" t="str">
        <f>IF(D33&gt;=4000,"TURBULENT FLOW","LAMINAR FLOW")</f>
        <v>TURBULENT FLOW</v>
      </c>
      <c r="E34" s="19"/>
      <c r="F34" s="19"/>
      <c r="G34" s="18"/>
      <c r="H34" s="18"/>
      <c r="I34" s="18"/>
      <c r="J34" s="18"/>
      <c r="L34" s="13"/>
      <c r="M34" s="13"/>
      <c r="N34" s="13" t="s">
        <v>28</v>
      </c>
      <c r="O34" s="13">
        <v>800</v>
      </c>
      <c r="P34" s="13">
        <v>0.14000000000000001</v>
      </c>
      <c r="Q34" s="13">
        <v>4</v>
      </c>
    </row>
    <row r="35" spans="1:17" ht="18.75">
      <c r="A35" s="18"/>
      <c r="B35" s="18"/>
      <c r="C35" s="19"/>
      <c r="D35" s="19"/>
      <c r="E35" s="19"/>
      <c r="F35" s="19"/>
      <c r="G35" s="18"/>
      <c r="H35" s="18"/>
      <c r="I35" s="18"/>
      <c r="J35" s="18"/>
      <c r="L35" s="13"/>
      <c r="M35" s="13" t="s">
        <v>35</v>
      </c>
      <c r="N35" s="13" t="s">
        <v>16</v>
      </c>
      <c r="O35" s="13">
        <v>800</v>
      </c>
      <c r="P35" s="13">
        <v>0.28000000000000003</v>
      </c>
      <c r="Q35" s="13">
        <v>4</v>
      </c>
    </row>
    <row r="36" spans="1:17" ht="18.75">
      <c r="A36" s="18" t="s">
        <v>80</v>
      </c>
      <c r="B36" s="18"/>
      <c r="C36" s="19"/>
      <c r="D36" s="19"/>
      <c r="E36" s="19"/>
      <c r="F36" s="19"/>
      <c r="G36" s="18"/>
      <c r="H36" s="18"/>
      <c r="I36" s="18"/>
      <c r="J36" s="18"/>
      <c r="L36" s="13"/>
      <c r="M36" s="13" t="s">
        <v>41</v>
      </c>
      <c r="N36" s="13"/>
      <c r="O36" s="13">
        <v>1000</v>
      </c>
      <c r="P36" s="13">
        <v>0.34</v>
      </c>
      <c r="Q36" s="13">
        <v>4</v>
      </c>
    </row>
    <row r="37" spans="1:17" ht="18.75">
      <c r="A37" s="18" t="s">
        <v>79</v>
      </c>
      <c r="B37" s="18"/>
      <c r="C37" s="19"/>
      <c r="D37" s="19"/>
      <c r="E37" s="19"/>
      <c r="F37" s="19"/>
      <c r="G37" s="18"/>
      <c r="H37" s="18"/>
      <c r="I37" s="18"/>
      <c r="J37" s="18"/>
      <c r="L37" s="13"/>
      <c r="M37" s="13" t="s">
        <v>42</v>
      </c>
      <c r="N37" s="13" t="s">
        <v>16</v>
      </c>
      <c r="O37" s="13">
        <v>200</v>
      </c>
      <c r="P37" s="13">
        <v>9.0999999999999998E-2</v>
      </c>
      <c r="Q37" s="13">
        <v>4</v>
      </c>
    </row>
    <row r="38" spans="1:17" ht="18.75">
      <c r="A38" s="18"/>
      <c r="B38" s="18"/>
      <c r="C38" s="19"/>
      <c r="D38" s="19"/>
      <c r="E38" s="19"/>
      <c r="F38" s="19"/>
      <c r="G38" s="18"/>
      <c r="H38" s="18"/>
      <c r="I38" s="18"/>
      <c r="J38" s="18"/>
      <c r="L38" s="13"/>
      <c r="M38" s="13" t="s">
        <v>35</v>
      </c>
      <c r="N38" s="13" t="s">
        <v>16</v>
      </c>
      <c r="O38" s="13">
        <v>150</v>
      </c>
      <c r="P38" s="13">
        <v>1.7000000000000001E-2</v>
      </c>
      <c r="Q38" s="13">
        <v>4</v>
      </c>
    </row>
    <row r="39" spans="1:17" ht="18.75">
      <c r="A39" s="18"/>
      <c r="B39" s="18"/>
      <c r="C39" s="19"/>
      <c r="D39" s="20"/>
      <c r="E39" s="19"/>
      <c r="F39" s="19"/>
      <c r="G39" s="18"/>
      <c r="H39" s="18"/>
      <c r="I39" s="18"/>
      <c r="J39" s="18"/>
      <c r="L39" s="13"/>
      <c r="M39" s="13" t="s">
        <v>41</v>
      </c>
      <c r="N39" s="13"/>
      <c r="O39" s="13">
        <v>100</v>
      </c>
      <c r="P39" s="13">
        <v>0</v>
      </c>
      <c r="Q39" s="13">
        <v>0</v>
      </c>
    </row>
    <row r="40" spans="1:17" ht="21">
      <c r="A40" s="17" t="s">
        <v>172</v>
      </c>
      <c r="B40" s="18"/>
      <c r="C40" s="19"/>
      <c r="D40" s="19"/>
      <c r="E40" s="19"/>
      <c r="F40" s="19"/>
      <c r="G40" s="18"/>
      <c r="H40" s="18"/>
      <c r="I40" s="18"/>
      <c r="J40" s="18"/>
      <c r="L40" s="13" t="s">
        <v>43</v>
      </c>
      <c r="M40" s="13" t="s">
        <v>44</v>
      </c>
      <c r="N40" s="13" t="s">
        <v>45</v>
      </c>
      <c r="O40" s="13">
        <v>950</v>
      </c>
      <c r="P40" s="13">
        <v>0.25</v>
      </c>
      <c r="Q40" s="13">
        <v>4</v>
      </c>
    </row>
    <row r="41" spans="1:17" ht="18.75">
      <c r="A41" s="18" t="s">
        <v>178</v>
      </c>
      <c r="B41" s="18"/>
      <c r="C41" s="19"/>
      <c r="D41" s="19">
        <f>$D$21/$D$11</f>
        <v>4.4709388971684054E-4</v>
      </c>
      <c r="E41" s="19"/>
      <c r="F41" s="19"/>
      <c r="G41" s="18"/>
      <c r="H41" s="18"/>
      <c r="I41" s="18"/>
      <c r="J41" s="18"/>
      <c r="L41" s="13"/>
      <c r="M41" s="13" t="s">
        <v>46</v>
      </c>
      <c r="N41" s="13" t="s">
        <v>45</v>
      </c>
      <c r="O41" s="13">
        <v>1000</v>
      </c>
      <c r="P41" s="13">
        <v>0.69</v>
      </c>
      <c r="Q41" s="13">
        <v>4</v>
      </c>
    </row>
    <row r="42" spans="1:17" ht="18.75">
      <c r="A42" s="18" t="s">
        <v>0</v>
      </c>
      <c r="B42" s="18"/>
      <c r="C42" s="19"/>
      <c r="D42" s="19">
        <f>ROUND(D41*1/3.7,5)</f>
        <v>1.2E-4</v>
      </c>
      <c r="E42" s="19"/>
      <c r="F42" s="19"/>
      <c r="G42" s="18"/>
      <c r="H42" s="18"/>
      <c r="I42" s="18"/>
      <c r="J42" s="18"/>
      <c r="L42" s="13"/>
      <c r="M42" s="13" t="s">
        <v>47</v>
      </c>
      <c r="N42" s="13" t="s">
        <v>49</v>
      </c>
      <c r="O42" s="13">
        <v>1500</v>
      </c>
      <c r="P42" s="13">
        <v>1.7</v>
      </c>
      <c r="Q42" s="13">
        <v>3.6</v>
      </c>
    </row>
    <row r="43" spans="1:17" ht="18.75">
      <c r="A43" s="18" t="s">
        <v>66</v>
      </c>
      <c r="B43" s="18"/>
      <c r="C43" s="19"/>
      <c r="D43" s="19">
        <f>ROUND((6.7/D33)^0.9,5)</f>
        <v>1.0000000000000001E-5</v>
      </c>
      <c r="E43" s="19"/>
      <c r="F43" s="19"/>
      <c r="G43" s="18"/>
      <c r="H43" s="18"/>
      <c r="I43" s="18"/>
      <c r="J43" s="18"/>
      <c r="L43" s="13"/>
      <c r="M43" s="13" t="s">
        <v>48</v>
      </c>
      <c r="N43" s="13" t="s">
        <v>50</v>
      </c>
      <c r="O43" s="13">
        <v>500</v>
      </c>
      <c r="P43" s="13">
        <v>0.41</v>
      </c>
      <c r="Q43" s="13">
        <v>4</v>
      </c>
    </row>
    <row r="44" spans="1:17" ht="18.75">
      <c r="A44" s="18" t="s">
        <v>67</v>
      </c>
      <c r="B44" s="18"/>
      <c r="C44" s="19"/>
      <c r="D44" s="19">
        <f>ROUND(SUM(D42:D43),5)</f>
        <v>1.2999999999999999E-4</v>
      </c>
      <c r="E44" s="19"/>
      <c r="F44" s="19"/>
      <c r="G44" s="18"/>
      <c r="H44" s="18"/>
      <c r="I44" s="18"/>
      <c r="J44" s="18"/>
      <c r="L44" s="13"/>
      <c r="M44" s="13" t="s">
        <v>48</v>
      </c>
      <c r="N44" s="13" t="s">
        <v>51</v>
      </c>
      <c r="O44" s="13">
        <v>300</v>
      </c>
      <c r="P44" s="13">
        <v>8.4000000000000005E-2</v>
      </c>
      <c r="Q44" s="13">
        <v>3.9</v>
      </c>
    </row>
    <row r="45" spans="1:17" ht="18.75">
      <c r="A45" s="18" t="s">
        <v>68</v>
      </c>
      <c r="B45" s="18"/>
      <c r="C45" s="19"/>
      <c r="D45" s="19">
        <f>F40-4*LOG(D42-(5.02*LOG(D44)/D33))</f>
        <v>15.569452502843424</v>
      </c>
      <c r="E45" s="19"/>
      <c r="F45" s="19" t="s">
        <v>106</v>
      </c>
      <c r="G45" s="18">
        <f>ROUND((2.457*LN(1/((7/D33)^0.9+(0.27*D41))))^16,3)</f>
        <v>2.9326814791198101E+21</v>
      </c>
      <c r="H45" s="18" t="s">
        <v>107</v>
      </c>
      <c r="I45" s="18">
        <f>(37530/D33)^16</f>
        <v>1.2722758530493012E-29</v>
      </c>
      <c r="J45" s="18"/>
      <c r="L45" s="13"/>
      <c r="M45" s="13" t="s">
        <v>48</v>
      </c>
      <c r="N45" s="13" t="s">
        <v>52</v>
      </c>
      <c r="O45" s="13">
        <v>300</v>
      </c>
      <c r="P45" s="13">
        <v>0.14000000000000001</v>
      </c>
      <c r="Q45" s="13">
        <v>4</v>
      </c>
    </row>
    <row r="46" spans="1:17" ht="18.75">
      <c r="A46" s="18" t="s">
        <v>65</v>
      </c>
      <c r="B46" s="18"/>
      <c r="C46" s="19"/>
      <c r="D46" s="19">
        <f>ROUND(1/(D45)^2,4)</f>
        <v>4.1000000000000003E-3</v>
      </c>
      <c r="E46" s="19"/>
      <c r="F46" s="19"/>
      <c r="G46" s="18"/>
      <c r="H46" s="18"/>
      <c r="I46" s="18"/>
      <c r="J46" s="18"/>
      <c r="L46" s="13"/>
      <c r="M46" s="13"/>
      <c r="N46" s="13"/>
      <c r="O46" s="13"/>
      <c r="P46" s="13"/>
      <c r="Q46" s="13"/>
    </row>
    <row r="47" spans="1:17" ht="21">
      <c r="A47" s="18" t="s">
        <v>173</v>
      </c>
      <c r="B47" s="18"/>
      <c r="C47" s="19"/>
      <c r="D47" s="19">
        <f>4*D46</f>
        <v>1.6400000000000001E-2</v>
      </c>
      <c r="E47" s="19"/>
      <c r="F47" s="19" t="s">
        <v>108</v>
      </c>
      <c r="G47" s="18"/>
      <c r="H47" s="18"/>
      <c r="I47" s="18">
        <f>ROUND(8*((8/D33)^12+(1/(G45+I45)^1.5))^(1/12),4)</f>
        <v>1.66E-2</v>
      </c>
      <c r="J47" s="18"/>
      <c r="L47" s="13"/>
      <c r="M47" s="13" t="s">
        <v>53</v>
      </c>
      <c r="N47" s="13" t="s">
        <v>49</v>
      </c>
      <c r="O47" s="13">
        <v>300</v>
      </c>
      <c r="P47" s="13">
        <v>3.6999999999999998E-2</v>
      </c>
      <c r="Q47" s="13">
        <v>3.9</v>
      </c>
    </row>
    <row r="48" spans="1:17" ht="21">
      <c r="A48" s="18"/>
      <c r="B48" s="18"/>
      <c r="C48" s="19"/>
      <c r="D48" s="19"/>
      <c r="E48" s="19"/>
      <c r="F48" s="19" t="s">
        <v>174</v>
      </c>
      <c r="G48" s="18"/>
      <c r="H48" s="18"/>
      <c r="I48" s="18">
        <f>I47/4</f>
        <v>4.15E-3</v>
      </c>
      <c r="J48" s="18"/>
      <c r="L48" s="13"/>
      <c r="M48" s="13" t="s">
        <v>54</v>
      </c>
      <c r="N48" s="13" t="s">
        <v>49</v>
      </c>
      <c r="O48" s="13">
        <v>300</v>
      </c>
      <c r="P48" s="13">
        <v>1.7000000000000001E-2</v>
      </c>
      <c r="Q48" s="13">
        <v>4</v>
      </c>
    </row>
    <row r="49" spans="1:30" ht="18.75">
      <c r="A49" s="18"/>
      <c r="B49" s="18"/>
      <c r="C49" s="18"/>
      <c r="D49" s="18"/>
      <c r="E49" s="18"/>
      <c r="F49" s="18"/>
      <c r="G49" s="18"/>
      <c r="H49" s="18"/>
      <c r="I49" s="18"/>
      <c r="J49" s="18"/>
      <c r="L49" s="13"/>
      <c r="M49" s="13" t="s">
        <v>55</v>
      </c>
      <c r="N49" s="13" t="s">
        <v>56</v>
      </c>
      <c r="O49" s="13">
        <v>1000</v>
      </c>
      <c r="P49" s="13">
        <v>0.69</v>
      </c>
      <c r="Q49" s="13">
        <v>4.9000000000000004</v>
      </c>
    </row>
    <row r="50" spans="1:30" ht="18.75">
      <c r="A50" s="18"/>
      <c r="B50" s="18"/>
      <c r="C50" s="18"/>
      <c r="D50" s="18"/>
      <c r="E50" s="18"/>
      <c r="F50" s="18"/>
      <c r="G50" s="18"/>
      <c r="H50" s="18"/>
      <c r="I50" s="18"/>
      <c r="J50" s="18"/>
      <c r="L50" s="13"/>
      <c r="M50" s="13" t="s">
        <v>57</v>
      </c>
      <c r="N50" s="13"/>
      <c r="O50" s="13">
        <v>1500</v>
      </c>
      <c r="P50" s="13">
        <v>0.46</v>
      </c>
      <c r="Q50" s="13">
        <v>4</v>
      </c>
    </row>
    <row r="51" spans="1:30" ht="18.75">
      <c r="A51" s="18"/>
      <c r="B51" s="18"/>
      <c r="C51" s="18"/>
      <c r="D51" s="18"/>
      <c r="E51" s="18"/>
      <c r="F51" s="18"/>
      <c r="G51" s="18"/>
      <c r="H51" s="18"/>
      <c r="I51" s="18"/>
      <c r="J51" s="18"/>
      <c r="L51" s="13"/>
      <c r="M51" s="13" t="s">
        <v>58</v>
      </c>
      <c r="N51" s="13"/>
      <c r="O51" s="13">
        <v>2000</v>
      </c>
      <c r="P51" s="13">
        <v>2.85</v>
      </c>
      <c r="Q51" s="13">
        <v>3.8</v>
      </c>
    </row>
    <row r="52" spans="1:30" ht="18">
      <c r="A52" s="17" t="s">
        <v>132</v>
      </c>
      <c r="B52" s="18"/>
      <c r="C52" s="19"/>
      <c r="D52" s="18">
        <f>D20</f>
        <v>125</v>
      </c>
      <c r="E52" s="19" t="s">
        <v>150</v>
      </c>
      <c r="F52" s="19">
        <f>ROUND(D16*D20/144,3)</f>
        <v>33.853999999999999</v>
      </c>
      <c r="G52" s="19" t="s">
        <v>117</v>
      </c>
      <c r="H52" s="18"/>
      <c r="I52" s="18"/>
      <c r="J52" s="18"/>
    </row>
    <row r="53" spans="1:30" ht="18">
      <c r="A53" s="18"/>
      <c r="B53" s="18"/>
      <c r="C53" s="18"/>
      <c r="D53" s="18"/>
      <c r="E53" s="18"/>
      <c r="F53" s="18"/>
      <c r="G53" s="18"/>
      <c r="H53" s="18"/>
      <c r="I53" s="18"/>
      <c r="J53" s="18"/>
    </row>
    <row r="54" spans="1:30" ht="18">
      <c r="A54" s="18"/>
      <c r="B54" s="18"/>
      <c r="C54" s="18"/>
      <c r="D54" s="18"/>
      <c r="E54" s="18"/>
      <c r="F54" s="18"/>
      <c r="G54" s="18"/>
      <c r="H54" s="18"/>
      <c r="I54" s="18"/>
      <c r="J54" s="18"/>
    </row>
    <row r="55" spans="1:30" ht="18.75">
      <c r="A55" s="18"/>
      <c r="B55" s="18"/>
      <c r="C55" s="19"/>
      <c r="D55" s="19"/>
      <c r="E55" s="19"/>
      <c r="F55" s="19"/>
      <c r="G55" s="18"/>
      <c r="H55" s="18"/>
      <c r="I55" s="18"/>
      <c r="J55" s="18"/>
      <c r="M55" s="11"/>
      <c r="N55" s="11"/>
      <c r="O55" s="11"/>
      <c r="P55" s="11"/>
      <c r="Q55" s="11"/>
      <c r="R55" s="11"/>
      <c r="S55" s="11"/>
      <c r="T55" s="11"/>
    </row>
    <row r="56" spans="1:30" ht="18.75">
      <c r="A56" s="18"/>
      <c r="B56" s="18"/>
      <c r="C56" s="18"/>
      <c r="D56" s="18"/>
      <c r="E56" s="18"/>
      <c r="F56" s="18"/>
      <c r="G56" s="18"/>
      <c r="H56" s="18"/>
      <c r="I56" s="18"/>
      <c r="J56" s="18"/>
      <c r="M56" s="11"/>
      <c r="N56" s="11" t="s">
        <v>78</v>
      </c>
      <c r="O56" s="11"/>
      <c r="P56" s="11"/>
      <c r="Q56" s="11"/>
      <c r="R56" s="11"/>
      <c r="S56" s="11"/>
      <c r="T56" s="11"/>
    </row>
    <row r="57" spans="1:30" ht="18.75">
      <c r="A57" s="17" t="s">
        <v>160</v>
      </c>
      <c r="B57" s="18"/>
      <c r="C57" s="18"/>
      <c r="D57" s="18"/>
      <c r="E57" s="18"/>
      <c r="F57" s="18"/>
      <c r="G57" s="18"/>
      <c r="H57" s="18"/>
      <c r="I57" s="18"/>
      <c r="J57" s="18"/>
      <c r="M57" s="14" t="s">
        <v>69</v>
      </c>
      <c r="N57" s="14" t="s">
        <v>70</v>
      </c>
      <c r="O57" s="14" t="s">
        <v>71</v>
      </c>
      <c r="P57" s="14" t="s">
        <v>72</v>
      </c>
      <c r="Q57" s="14" t="s">
        <v>73</v>
      </c>
      <c r="R57" s="14" t="s">
        <v>74</v>
      </c>
      <c r="S57" s="14" t="s">
        <v>75</v>
      </c>
      <c r="T57" s="14" t="s">
        <v>76</v>
      </c>
      <c r="W57" s="11"/>
      <c r="X57" s="11"/>
      <c r="Y57" s="11"/>
      <c r="Z57" s="11"/>
      <c r="AA57" s="11"/>
      <c r="AB57" s="11"/>
      <c r="AC57" s="11"/>
      <c r="AD57" s="11"/>
    </row>
    <row r="58" spans="1:30" ht="22.5">
      <c r="A58" s="18"/>
      <c r="B58" s="18"/>
      <c r="C58" s="18"/>
      <c r="D58" s="19"/>
      <c r="E58" s="18"/>
      <c r="F58" s="18"/>
      <c r="G58" s="18"/>
      <c r="H58" s="18"/>
      <c r="I58" s="18"/>
      <c r="J58" s="18"/>
      <c r="M58" s="14" t="s">
        <v>156</v>
      </c>
      <c r="N58" s="14">
        <v>7</v>
      </c>
      <c r="O58" s="14">
        <v>800</v>
      </c>
      <c r="P58" s="14">
        <f>N58*O58</f>
        <v>5600</v>
      </c>
      <c r="Q58" s="14">
        <v>7.0999999999999994E-2</v>
      </c>
      <c r="R58" s="14">
        <f>N58*Q58</f>
        <v>0.49699999999999994</v>
      </c>
      <c r="S58" s="14">
        <v>4.2</v>
      </c>
      <c r="T58" s="14">
        <f>ROUND(P58/$D$33+R58*(1+(S58/$D$12^0.3)),3)</f>
        <v>1.877</v>
      </c>
    </row>
    <row r="59" spans="1:30" ht="18.75">
      <c r="A59" s="18" t="s">
        <v>157</v>
      </c>
      <c r="B59" s="18"/>
      <c r="C59" s="19"/>
      <c r="D59" s="19">
        <f>ROUND(D47*(D19*12/D11),3)</f>
        <v>8.6029999999999998</v>
      </c>
      <c r="E59" s="18"/>
      <c r="F59" s="18"/>
      <c r="G59" s="18"/>
      <c r="H59" s="18"/>
      <c r="I59" s="18"/>
      <c r="J59" s="18"/>
      <c r="M59" s="14" t="s">
        <v>53</v>
      </c>
      <c r="N59" s="14">
        <v>2</v>
      </c>
      <c r="O59" s="14">
        <v>300</v>
      </c>
      <c r="P59" s="14">
        <f>N59*O59</f>
        <v>600</v>
      </c>
      <c r="Q59" s="14">
        <v>3.6999999999999998E-2</v>
      </c>
      <c r="R59" s="14">
        <f>N59*Q59</f>
        <v>7.3999999999999996E-2</v>
      </c>
      <c r="S59" s="14">
        <v>3.9</v>
      </c>
      <c r="T59" s="14">
        <f>ROUND(P59/$D$33+R59*(1+(S59/$D$12^0.3)),3)</f>
        <v>0.26500000000000001</v>
      </c>
    </row>
    <row r="60" spans="1:30" ht="18.75">
      <c r="A60" s="18" t="s">
        <v>158</v>
      </c>
      <c r="B60" s="18"/>
      <c r="C60" s="18"/>
      <c r="D60" s="19">
        <f>T64</f>
        <v>4.8170000000000002</v>
      </c>
      <c r="E60" s="19"/>
      <c r="F60" s="18"/>
      <c r="G60" s="18"/>
      <c r="H60" s="18"/>
      <c r="I60" s="18"/>
      <c r="J60" s="18"/>
      <c r="M60" s="14" t="s">
        <v>81</v>
      </c>
      <c r="N60" s="14">
        <v>1</v>
      </c>
      <c r="O60" s="14">
        <v>1500</v>
      </c>
      <c r="P60" s="14">
        <f>N60*O60</f>
        <v>1500</v>
      </c>
      <c r="Q60" s="14">
        <v>0.46</v>
      </c>
      <c r="R60" s="14">
        <f>N60*Q60</f>
        <v>0.46</v>
      </c>
      <c r="S60" s="14">
        <v>4</v>
      </c>
      <c r="T60" s="14">
        <f>ROUND(P60/$D$33+R60*(1+(S60/$D$12^0.3)),3)</f>
        <v>1.675</v>
      </c>
    </row>
    <row r="61" spans="1:30" ht="18.75">
      <c r="A61" s="18" t="s">
        <v>159</v>
      </c>
      <c r="B61" s="18"/>
      <c r="C61" s="19"/>
      <c r="D61" s="19">
        <f>SUM(D59:D60)</f>
        <v>13.42</v>
      </c>
      <c r="E61" s="19"/>
      <c r="F61" s="18"/>
      <c r="G61" s="18"/>
      <c r="H61" s="18"/>
      <c r="I61" s="18"/>
      <c r="J61" s="18"/>
      <c r="M61" s="14" t="s">
        <v>146</v>
      </c>
      <c r="N61" s="14">
        <v>1</v>
      </c>
      <c r="O61" s="14"/>
      <c r="P61" s="14"/>
      <c r="Q61" s="14"/>
      <c r="R61" s="14"/>
      <c r="S61" s="14"/>
      <c r="T61" s="14">
        <v>1</v>
      </c>
    </row>
    <row r="62" spans="1:30" ht="18.75">
      <c r="A62" s="18" t="s">
        <v>161</v>
      </c>
      <c r="B62" s="18"/>
      <c r="C62" s="19"/>
      <c r="D62" s="19">
        <f>ROUND(D61*ABS(D31),3)</f>
        <v>35.710999999999999</v>
      </c>
      <c r="E62" s="19" t="s">
        <v>150</v>
      </c>
      <c r="F62" s="18">
        <f>ROUND(D62*D16/144,3)</f>
        <v>9.6720000000000006</v>
      </c>
      <c r="G62" s="18" t="s">
        <v>162</v>
      </c>
      <c r="H62" s="18"/>
      <c r="I62" s="18"/>
      <c r="J62" s="18"/>
      <c r="M62" s="14" t="s">
        <v>147</v>
      </c>
      <c r="N62" s="15"/>
      <c r="O62" s="15"/>
      <c r="P62" s="15"/>
      <c r="Q62" s="15"/>
      <c r="R62" s="15"/>
      <c r="S62" s="15"/>
      <c r="T62" s="15"/>
    </row>
    <row r="63" spans="1:30" ht="18.75">
      <c r="A63" s="18"/>
      <c r="B63" s="18"/>
      <c r="C63" s="19"/>
      <c r="D63" s="19"/>
      <c r="E63" s="19"/>
      <c r="F63" s="18"/>
      <c r="G63" s="18"/>
      <c r="H63" s="18"/>
      <c r="I63" s="18"/>
      <c r="J63" s="18"/>
      <c r="M63" s="14"/>
      <c r="N63" s="15"/>
      <c r="O63" s="15"/>
      <c r="P63" s="15"/>
      <c r="Q63" s="15"/>
      <c r="R63" s="15"/>
      <c r="S63" s="15"/>
      <c r="T63" s="15"/>
    </row>
    <row r="64" spans="1:30" ht="18.75">
      <c r="A64" s="18" t="s">
        <v>140</v>
      </c>
      <c r="B64" s="18"/>
      <c r="C64" s="19"/>
      <c r="D64" s="19">
        <f>ROUND((0.0216*D47*D16*D14^2)/D11^5,4)</f>
        <v>3.5318000000000001</v>
      </c>
      <c r="E64" s="19" t="s">
        <v>127</v>
      </c>
      <c r="F64" s="18"/>
      <c r="G64" s="18"/>
      <c r="H64" s="18"/>
      <c r="I64" s="18"/>
      <c r="J64" s="18"/>
      <c r="M64" s="14" t="s">
        <v>77</v>
      </c>
      <c r="N64" s="14"/>
      <c r="O64" s="14"/>
      <c r="P64" s="14"/>
      <c r="Q64" s="14"/>
      <c r="R64" s="14"/>
      <c r="S64" s="14"/>
      <c r="T64" s="14">
        <f>SUM(T58:T61)</f>
        <v>4.8170000000000002</v>
      </c>
    </row>
    <row r="65" spans="1:23" ht="18.75" thickBot="1">
      <c r="A65" s="18"/>
      <c r="B65" s="18"/>
      <c r="C65" s="19"/>
      <c r="D65" s="19"/>
      <c r="E65" s="19"/>
      <c r="F65" s="18"/>
      <c r="G65" s="18"/>
      <c r="H65" s="18"/>
      <c r="I65" s="18"/>
      <c r="J65" s="18"/>
    </row>
    <row r="66" spans="1:23" ht="18">
      <c r="A66" s="18"/>
      <c r="B66" s="18"/>
      <c r="C66" s="18"/>
      <c r="D66" s="18"/>
      <c r="E66" s="18"/>
      <c r="F66" s="19"/>
      <c r="G66" s="18"/>
      <c r="H66" s="29" t="s">
        <v>187</v>
      </c>
      <c r="I66" s="30"/>
      <c r="J66" s="30"/>
      <c r="K66" s="31"/>
    </row>
    <row r="67" spans="1:23" ht="18.75">
      <c r="A67" s="17" t="s">
        <v>177</v>
      </c>
      <c r="B67" s="18"/>
      <c r="C67" s="18"/>
      <c r="D67" s="18">
        <f>H24+D31+D52+D62</f>
        <v>544.63</v>
      </c>
      <c r="E67" s="19" t="s">
        <v>150</v>
      </c>
      <c r="F67" s="18">
        <f>D24+F31+F52+F62</f>
        <v>132.80530000000002</v>
      </c>
      <c r="G67" s="18" t="s">
        <v>117</v>
      </c>
      <c r="H67" s="32"/>
      <c r="I67" s="33"/>
      <c r="J67" s="33"/>
      <c r="K67" s="34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ht="18.75">
      <c r="A68" s="18"/>
      <c r="B68" s="18"/>
      <c r="C68" s="18"/>
      <c r="D68" s="18">
        <f>ROUND(D67*D16/144,2)</f>
        <v>147.5</v>
      </c>
      <c r="E68" s="19" t="s">
        <v>155</v>
      </c>
      <c r="F68" s="18"/>
      <c r="G68" s="18"/>
      <c r="H68" s="32" t="s">
        <v>181</v>
      </c>
      <c r="I68" s="33"/>
      <c r="J68" s="33">
        <f>$D$14</f>
        <v>520</v>
      </c>
      <c r="K68" s="34" t="s">
        <v>182</v>
      </c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11"/>
    </row>
    <row r="69" spans="1:23" ht="18.75">
      <c r="A69" s="18"/>
      <c r="B69" s="18"/>
      <c r="C69" s="18"/>
      <c r="D69" s="18">
        <f>D68-14.7</f>
        <v>132.80000000000001</v>
      </c>
      <c r="E69" s="19" t="s">
        <v>117</v>
      </c>
      <c r="F69" s="18"/>
      <c r="G69" s="18"/>
      <c r="H69" s="32" t="s">
        <v>183</v>
      </c>
      <c r="I69" s="33"/>
      <c r="J69" s="33">
        <f>$D$69-89.63</f>
        <v>43.170000000000016</v>
      </c>
      <c r="K69" s="34" t="s">
        <v>94</v>
      </c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11"/>
    </row>
    <row r="70" spans="1:23" ht="18.75">
      <c r="A70" s="18"/>
      <c r="B70" s="18"/>
      <c r="C70" s="18"/>
      <c r="D70" s="18"/>
      <c r="E70" s="18"/>
      <c r="F70" s="18"/>
      <c r="H70" s="32" t="s">
        <v>184</v>
      </c>
      <c r="I70" s="33"/>
      <c r="J70" s="33">
        <f>ROUND(J68*J69/1714,2)</f>
        <v>13.1</v>
      </c>
      <c r="K70" s="34" t="s">
        <v>185</v>
      </c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11"/>
    </row>
    <row r="71" spans="1:23" ht="19.5" thickBot="1">
      <c r="A71" s="18"/>
      <c r="B71" s="18"/>
      <c r="C71" s="18"/>
      <c r="D71" s="18"/>
      <c r="E71" s="18"/>
      <c r="F71" s="18"/>
      <c r="G71" s="18"/>
      <c r="H71" s="35" t="s">
        <v>186</v>
      </c>
      <c r="I71" s="36"/>
      <c r="J71" s="36">
        <f>J70/0.7</f>
        <v>18.714285714285715</v>
      </c>
      <c r="K71" s="37" t="s">
        <v>185</v>
      </c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11"/>
    </row>
    <row r="72" spans="1:23" ht="18.75">
      <c r="A72" s="18"/>
      <c r="B72" s="18"/>
      <c r="C72" s="18"/>
      <c r="D72" s="18"/>
      <c r="E72" s="18"/>
      <c r="F72" s="18"/>
      <c r="G72" s="18"/>
      <c r="H72" s="18"/>
      <c r="I72" s="18"/>
      <c r="J72" s="1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11"/>
    </row>
    <row r="73" spans="1:23" ht="18.75">
      <c r="A73" s="18"/>
      <c r="B73" s="18"/>
      <c r="C73" s="19"/>
      <c r="D73" s="19"/>
      <c r="E73" s="19"/>
      <c r="F73" s="19"/>
      <c r="G73" s="1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11"/>
    </row>
    <row r="74" spans="1:23" ht="18.75">
      <c r="A74" s="17" t="s">
        <v>97</v>
      </c>
      <c r="B74" s="17"/>
      <c r="C74" s="21"/>
      <c r="D74" s="19"/>
      <c r="E74" s="19"/>
      <c r="F74" s="19"/>
      <c r="G74" s="1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11"/>
    </row>
    <row r="75" spans="1:23" ht="18.75">
      <c r="A75" s="18"/>
      <c r="B75" s="18"/>
      <c r="C75" s="19"/>
      <c r="D75" s="19"/>
      <c r="E75" s="19"/>
      <c r="F75" s="19"/>
      <c r="G75" s="18"/>
      <c r="H75" s="18"/>
      <c r="I75" s="18"/>
      <c r="J75" s="1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11"/>
    </row>
    <row r="76" spans="1:23" ht="18.75">
      <c r="A76" s="18"/>
      <c r="B76" s="18"/>
      <c r="C76" s="19"/>
      <c r="D76" s="19">
        <f>ROUND(F24+F31+F52+F62,3)</f>
        <v>147.505</v>
      </c>
      <c r="E76" s="19" t="s">
        <v>155</v>
      </c>
      <c r="F76" s="19">
        <f>D76-14.7</f>
        <v>132.80500000000001</v>
      </c>
      <c r="G76" s="18" t="s">
        <v>117</v>
      </c>
      <c r="H76" s="18"/>
      <c r="I76" s="18"/>
      <c r="J76" s="1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11"/>
    </row>
    <row r="77" spans="1:23" ht="19.5" thickBot="1">
      <c r="A77" s="18"/>
      <c r="B77" s="18"/>
      <c r="C77" s="19"/>
      <c r="D77" s="19"/>
      <c r="E77" s="19"/>
      <c r="F77" s="19"/>
      <c r="G77" s="1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11"/>
    </row>
    <row r="78" spans="1:23" ht="18.75">
      <c r="A78" s="17" t="s">
        <v>96</v>
      </c>
      <c r="B78" s="17"/>
      <c r="C78" s="19"/>
      <c r="D78" s="19"/>
      <c r="E78" s="19"/>
      <c r="H78" s="29" t="s">
        <v>187</v>
      </c>
      <c r="I78" s="30"/>
      <c r="J78" s="30"/>
      <c r="K78" s="31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11"/>
    </row>
    <row r="79" spans="1:23" ht="18.75">
      <c r="A79" s="18"/>
      <c r="B79" s="18"/>
      <c r="C79" s="19"/>
      <c r="D79" s="19"/>
      <c r="E79" s="19"/>
      <c r="F79" s="19"/>
      <c r="G79" s="18"/>
      <c r="H79" s="32" t="s">
        <v>188</v>
      </c>
      <c r="I79" s="38"/>
      <c r="J79" s="33">
        <f>$D$14</f>
        <v>520</v>
      </c>
      <c r="K79" s="34" t="s">
        <v>182</v>
      </c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11"/>
    </row>
    <row r="80" spans="1:23" ht="18.75">
      <c r="A80" s="17" t="s">
        <v>82</v>
      </c>
      <c r="B80" s="17"/>
      <c r="C80" s="19"/>
      <c r="D80" s="19">
        <v>3</v>
      </c>
      <c r="E80" s="19" t="s">
        <v>113</v>
      </c>
      <c r="F80" s="19"/>
      <c r="G80" s="18"/>
      <c r="H80" s="32" t="s">
        <v>181</v>
      </c>
      <c r="I80" s="33"/>
      <c r="J80" s="33"/>
      <c r="K80" s="34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11"/>
    </row>
    <row r="81" spans="1:23" ht="18.75">
      <c r="A81" s="18" t="s">
        <v>110</v>
      </c>
      <c r="B81" s="18"/>
      <c r="C81" s="19"/>
      <c r="D81" s="19">
        <v>3.0680000000000001</v>
      </c>
      <c r="E81" s="19" t="s">
        <v>113</v>
      </c>
      <c r="F81" s="19"/>
      <c r="G81" s="18"/>
      <c r="H81" s="32" t="s">
        <v>189</v>
      </c>
      <c r="I81" s="33"/>
      <c r="J81" s="33">
        <f>ROUND(2.31*J69/D15,2)</f>
        <v>159.56</v>
      </c>
      <c r="K81" s="34" t="s">
        <v>126</v>
      </c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11"/>
    </row>
    <row r="82" spans="1:23" ht="18.75">
      <c r="A82" s="18" t="s">
        <v>83</v>
      </c>
      <c r="B82" s="18"/>
      <c r="C82" s="19"/>
      <c r="D82" s="19">
        <f>ROUND(0.408*$D$14/D81^2,2)</f>
        <v>22.54</v>
      </c>
      <c r="E82" s="19" t="s">
        <v>133</v>
      </c>
      <c r="F82" s="19"/>
      <c r="G82" s="18"/>
      <c r="H82" s="32" t="s">
        <v>184</v>
      </c>
      <c r="I82" s="33"/>
      <c r="J82" s="33">
        <f>ROUND(J68*J81*D15/3960,1)</f>
        <v>13.1</v>
      </c>
      <c r="K82" s="34" t="s">
        <v>190</v>
      </c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11"/>
    </row>
    <row r="83" spans="1:23" ht="19.5" thickBot="1">
      <c r="A83" s="18" t="s">
        <v>84</v>
      </c>
      <c r="B83" s="18"/>
      <c r="C83" s="19"/>
      <c r="D83" s="19">
        <f>ROUND((0.0216*D$99*D$16*D$14^2)/D$81^5,4)</f>
        <v>14.748900000000001</v>
      </c>
      <c r="E83" s="19" t="s">
        <v>127</v>
      </c>
      <c r="F83" s="19"/>
      <c r="G83" s="18"/>
      <c r="H83" s="35" t="s">
        <v>186</v>
      </c>
      <c r="I83" s="36"/>
      <c r="J83" s="36">
        <f>J82/0.7</f>
        <v>18.714285714285715</v>
      </c>
      <c r="K83" s="37" t="s">
        <v>185</v>
      </c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11"/>
    </row>
    <row r="84" spans="1:23" ht="18.75">
      <c r="A84" s="18"/>
      <c r="B84" s="18"/>
      <c r="C84" s="19"/>
      <c r="D84" s="19"/>
      <c r="E84" s="19"/>
      <c r="F84" s="19"/>
      <c r="G84" s="18"/>
      <c r="H84" s="18"/>
      <c r="I84" s="18"/>
      <c r="J84" s="1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11"/>
    </row>
    <row r="85" spans="1:23" ht="18.75">
      <c r="A85" s="18"/>
      <c r="B85" s="18"/>
      <c r="C85" s="19"/>
      <c r="D85" s="19"/>
      <c r="E85" s="19"/>
      <c r="F85" s="19"/>
      <c r="G85" s="18"/>
      <c r="H85" s="18"/>
      <c r="I85" s="18"/>
      <c r="J85" s="1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11"/>
    </row>
    <row r="86" spans="1:23" ht="21.75">
      <c r="A86" s="18" t="s">
        <v>175</v>
      </c>
      <c r="B86" s="18"/>
      <c r="C86" s="19"/>
      <c r="D86" s="19">
        <f>ROUND((D82^2/(2*32.2)),3)</f>
        <v>7.8890000000000002</v>
      </c>
      <c r="E86" s="19" t="s">
        <v>116</v>
      </c>
      <c r="F86" s="19"/>
      <c r="G86" s="18"/>
      <c r="H86" s="18"/>
      <c r="I86" s="18"/>
      <c r="J86" s="1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11"/>
    </row>
    <row r="87" spans="1:23" ht="18.75">
      <c r="A87" s="18" t="s">
        <v>63</v>
      </c>
      <c r="B87" s="18"/>
      <c r="C87" s="19"/>
      <c r="D87" s="19">
        <f>ROUND((50.6*D$14*D$15*62.3)/(D81*D$18),0)</f>
        <v>3150364</v>
      </c>
      <c r="E87" s="19"/>
      <c r="F87" s="19"/>
      <c r="G87" s="18"/>
      <c r="H87" s="18"/>
      <c r="I87" s="18"/>
      <c r="J87" s="1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11"/>
    </row>
    <row r="88" spans="1:23" ht="18.75">
      <c r="A88" s="18" t="s">
        <v>64</v>
      </c>
      <c r="B88" s="18"/>
      <c r="C88" s="19"/>
      <c r="D88" s="19" t="str">
        <f>IF(D87&gt;=4000,"TURBULENT FLOW","LAMINAR FLOW")</f>
        <v>TURBULENT FLOW</v>
      </c>
      <c r="E88" s="19"/>
      <c r="F88" s="19"/>
      <c r="G88" s="18"/>
      <c r="H88" s="18"/>
      <c r="I88" s="18"/>
      <c r="J88" s="1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11"/>
    </row>
    <row r="89" spans="1:23" ht="18.75">
      <c r="A89" s="18"/>
      <c r="B89" s="18"/>
      <c r="C89" s="19"/>
      <c r="D89" s="19"/>
      <c r="E89" s="19"/>
      <c r="F89" s="19"/>
      <c r="G89" s="18"/>
      <c r="H89" s="18"/>
      <c r="I89" s="18"/>
      <c r="J89" s="1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11"/>
    </row>
    <row r="90" spans="1:23" ht="18.75">
      <c r="A90" s="18"/>
      <c r="B90" s="18"/>
      <c r="C90" s="19"/>
      <c r="D90" s="19"/>
      <c r="E90" s="19"/>
      <c r="F90" s="19"/>
      <c r="G90" s="18"/>
      <c r="H90" s="18"/>
      <c r="I90" s="18"/>
      <c r="J90" s="1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11"/>
    </row>
    <row r="91" spans="1:23" ht="18.75">
      <c r="A91" s="18"/>
      <c r="B91" s="18"/>
      <c r="C91" s="19"/>
      <c r="D91" s="19"/>
      <c r="E91" s="19"/>
      <c r="F91" s="19"/>
      <c r="G91" s="18"/>
      <c r="H91" s="18"/>
      <c r="I91" s="18"/>
      <c r="J91" s="1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11"/>
    </row>
    <row r="92" spans="1:23" ht="21">
      <c r="A92" s="17" t="s">
        <v>172</v>
      </c>
      <c r="B92" s="17"/>
      <c r="C92" s="21"/>
      <c r="D92" s="19"/>
      <c r="E92" s="19"/>
      <c r="F92" s="19"/>
      <c r="G92" s="18"/>
      <c r="H92" s="18"/>
      <c r="I92" s="18"/>
      <c r="J92" s="1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11"/>
    </row>
    <row r="93" spans="1:23" ht="18.75">
      <c r="A93" s="18" t="s">
        <v>178</v>
      </c>
      <c r="B93" s="18"/>
      <c r="C93" s="19"/>
      <c r="D93" s="19">
        <f>$D$21/D81</f>
        <v>5.8670143415906126E-4</v>
      </c>
      <c r="E93" s="19"/>
      <c r="F93" s="19"/>
      <c r="G93" s="18" t="s">
        <v>106</v>
      </c>
      <c r="H93" s="18">
        <f>ROUND((2.457*LN(1/((7/D87)^0.9+(0.27*D93))))^16,3)</f>
        <v>1.9003589367512999E+21</v>
      </c>
      <c r="I93" s="18" t="s">
        <v>107</v>
      </c>
      <c r="J93" s="18">
        <f>(37530/D87)^16</f>
        <v>1.6454521373427836E-31</v>
      </c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11"/>
    </row>
    <row r="94" spans="1:23" ht="18.75">
      <c r="A94" s="18" t="s">
        <v>179</v>
      </c>
      <c r="B94" s="18"/>
      <c r="C94" s="19"/>
      <c r="D94" s="19">
        <f>ROUND(D93*1/3.7,5)</f>
        <v>1.6000000000000001E-4</v>
      </c>
      <c r="E94" s="19"/>
      <c r="F94" s="19"/>
      <c r="G94" s="18"/>
      <c r="H94" s="18"/>
      <c r="I94" s="18"/>
      <c r="J94" s="1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11"/>
    </row>
    <row r="95" spans="1:23" ht="18.75">
      <c r="A95" s="18" t="s">
        <v>66</v>
      </c>
      <c r="B95" s="18"/>
      <c r="C95" s="19"/>
      <c r="D95" s="19">
        <f>ROUND((6.7/D$87)^0.9,5)</f>
        <v>1.0000000000000001E-5</v>
      </c>
      <c r="E95" s="19"/>
      <c r="F95" s="19"/>
      <c r="G95" s="18" t="s">
        <v>108</v>
      </c>
      <c r="H95" s="18"/>
      <c r="I95" s="18"/>
      <c r="J95" s="18">
        <f>ROUND(8*((8/D87)^12+(1/(H93+J93)^1.5))^(1/12),4)</f>
        <v>1.7500000000000002E-2</v>
      </c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11"/>
    </row>
    <row r="96" spans="1:23" ht="21">
      <c r="A96" s="18" t="s">
        <v>67</v>
      </c>
      <c r="B96" s="18"/>
      <c r="C96" s="19"/>
      <c r="D96" s="19">
        <f>ROUND(SUM(D94:D95),5)</f>
        <v>1.7000000000000001E-4</v>
      </c>
      <c r="E96" s="19"/>
      <c r="F96" s="19"/>
      <c r="G96" s="18" t="s">
        <v>174</v>
      </c>
      <c r="H96" s="18"/>
      <c r="I96" s="18"/>
      <c r="J96" s="18">
        <f>J95/4</f>
        <v>4.3750000000000004E-3</v>
      </c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11"/>
    </row>
    <row r="97" spans="1:23" ht="18.75">
      <c r="A97" s="18" t="s">
        <v>68</v>
      </c>
      <c r="B97" s="18"/>
      <c r="C97" s="19"/>
      <c r="D97" s="19">
        <f>-4*LOG(D$94-(5.02*LOG(D96)/D$87))</f>
        <v>15.119498015965931</v>
      </c>
      <c r="E97" s="19"/>
      <c r="F97" s="19"/>
      <c r="G97" s="18"/>
      <c r="H97" s="18"/>
      <c r="I97" s="18"/>
      <c r="J97" s="18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</row>
    <row r="98" spans="1:23" ht="18">
      <c r="A98" s="18" t="s">
        <v>65</v>
      </c>
      <c r="B98" s="18"/>
      <c r="C98" s="19"/>
      <c r="D98" s="19">
        <f>ROUND(1/(D97)^2,4)</f>
        <v>4.4000000000000003E-3</v>
      </c>
      <c r="E98" s="19"/>
      <c r="F98" s="19"/>
      <c r="G98" s="18"/>
      <c r="H98" s="18"/>
      <c r="I98" s="18"/>
      <c r="J98" s="18"/>
    </row>
    <row r="99" spans="1:23" ht="21">
      <c r="A99" s="18" t="s">
        <v>173</v>
      </c>
      <c r="B99" s="18"/>
      <c r="C99" s="19"/>
      <c r="D99" s="19">
        <f>4*D98</f>
        <v>1.7600000000000001E-2</v>
      </c>
      <c r="E99" s="19"/>
      <c r="F99" s="19"/>
      <c r="G99" s="18"/>
      <c r="H99" s="18"/>
      <c r="I99" s="18"/>
      <c r="J99" s="18"/>
    </row>
    <row r="100" spans="1:23" ht="18">
      <c r="A100" s="18"/>
      <c r="B100" s="18"/>
      <c r="C100" s="19"/>
      <c r="D100" s="19"/>
      <c r="E100" s="19"/>
      <c r="F100" s="19"/>
      <c r="G100" s="18"/>
      <c r="H100" s="18"/>
      <c r="I100" s="18"/>
      <c r="J100" s="18"/>
    </row>
    <row r="101" spans="1:23" ht="18">
      <c r="A101" s="18"/>
      <c r="B101" s="18"/>
      <c r="C101" s="19"/>
      <c r="D101" s="19"/>
      <c r="E101" s="19"/>
      <c r="F101" s="19"/>
      <c r="G101" s="18"/>
      <c r="H101" s="18"/>
      <c r="I101" s="18"/>
      <c r="J101" s="18"/>
    </row>
    <row r="102" spans="1:23" ht="18">
      <c r="A102" s="17" t="s">
        <v>88</v>
      </c>
      <c r="B102" s="17"/>
      <c r="C102" s="19"/>
      <c r="D102" s="19">
        <v>5</v>
      </c>
      <c r="E102" s="19" t="s">
        <v>113</v>
      </c>
      <c r="F102" s="19"/>
      <c r="G102" s="18"/>
      <c r="H102" s="18"/>
      <c r="I102" s="18"/>
      <c r="J102" s="18"/>
    </row>
    <row r="103" spans="1:23" ht="18">
      <c r="A103" s="18" t="s">
        <v>111</v>
      </c>
      <c r="B103" s="18"/>
      <c r="C103" s="19"/>
      <c r="D103" s="19">
        <v>5.048</v>
      </c>
      <c r="E103" s="19" t="s">
        <v>113</v>
      </c>
      <c r="F103" s="19"/>
      <c r="G103" s="18"/>
      <c r="H103" s="18"/>
      <c r="I103" s="18"/>
      <c r="J103" s="18"/>
    </row>
    <row r="104" spans="1:23" ht="18">
      <c r="A104" s="18" t="s">
        <v>85</v>
      </c>
      <c r="B104" s="18"/>
      <c r="C104" s="19"/>
      <c r="D104" s="19">
        <f>ROUND(0.408*$D$14/D103^2,2)</f>
        <v>8.33</v>
      </c>
      <c r="E104" s="19" t="s">
        <v>133</v>
      </c>
      <c r="F104" s="19"/>
      <c r="G104" s="18"/>
      <c r="H104" s="18"/>
      <c r="I104" s="18"/>
      <c r="J104" s="18"/>
    </row>
    <row r="105" spans="1:23" ht="18">
      <c r="A105" s="18" t="s">
        <v>86</v>
      </c>
      <c r="B105" s="18"/>
      <c r="C105" s="19"/>
      <c r="D105" s="19">
        <f>ROUND((0.0216*D120*D$16*D$14^2)/D103^5,4)</f>
        <v>1.1119000000000001</v>
      </c>
      <c r="E105" s="19" t="s">
        <v>134</v>
      </c>
      <c r="F105" s="19"/>
      <c r="G105" s="18"/>
      <c r="H105" s="18"/>
      <c r="I105" s="18"/>
      <c r="J105" s="18"/>
    </row>
    <row r="106" spans="1:23" ht="18">
      <c r="A106" s="18"/>
      <c r="B106" s="18"/>
      <c r="C106" s="19"/>
      <c r="D106" s="19"/>
      <c r="E106" s="19"/>
      <c r="F106" s="19"/>
      <c r="G106" s="18"/>
      <c r="H106" s="18"/>
      <c r="I106" s="18"/>
      <c r="J106" s="18"/>
    </row>
    <row r="107" spans="1:23" ht="21">
      <c r="A107" s="18" t="s">
        <v>176</v>
      </c>
      <c r="B107" s="18"/>
      <c r="C107" s="19"/>
      <c r="D107" s="19">
        <f>ROUND((D104^2/(2*32.2)),3)</f>
        <v>1.077</v>
      </c>
      <c r="E107" s="19" t="s">
        <v>116</v>
      </c>
      <c r="F107" s="19"/>
      <c r="G107" s="18"/>
      <c r="H107" s="18"/>
      <c r="I107" s="18"/>
      <c r="J107" s="18"/>
    </row>
    <row r="108" spans="1:23" ht="18">
      <c r="A108" s="18" t="s">
        <v>63</v>
      </c>
      <c r="B108" s="18"/>
      <c r="C108" s="19"/>
      <c r="D108" s="19">
        <f>ROUND((50.6*D$14*D$15*62.3)/(D103*D$18),0)</f>
        <v>1914682</v>
      </c>
      <c r="E108" s="19"/>
      <c r="F108" s="19"/>
      <c r="G108" s="18"/>
      <c r="H108" s="18"/>
      <c r="I108" s="18"/>
      <c r="J108" s="18"/>
    </row>
    <row r="109" spans="1:23" ht="18">
      <c r="A109" s="18" t="s">
        <v>64</v>
      </c>
      <c r="B109" s="18"/>
      <c r="C109" s="19"/>
      <c r="D109" s="19" t="str">
        <f>IF(D108&gt;=4000,"TURBULENT FLOW","LAMINAR FLOW")</f>
        <v>TURBULENT FLOW</v>
      </c>
      <c r="E109" s="19"/>
      <c r="F109" s="19"/>
      <c r="G109" s="18"/>
      <c r="H109" s="18"/>
      <c r="I109" s="18"/>
      <c r="J109" s="18"/>
    </row>
    <row r="110" spans="1:23" ht="18">
      <c r="A110" s="18"/>
      <c r="B110" s="18"/>
      <c r="C110" s="19"/>
      <c r="D110" s="19"/>
      <c r="E110" s="19"/>
      <c r="F110" s="19"/>
      <c r="G110" s="18"/>
      <c r="H110" s="18"/>
      <c r="I110" s="18"/>
      <c r="J110" s="18"/>
    </row>
    <row r="111" spans="1:23" ht="18">
      <c r="A111" s="18"/>
      <c r="B111" s="18"/>
      <c r="C111" s="19"/>
      <c r="D111" s="19"/>
      <c r="E111" s="19"/>
      <c r="F111" s="19"/>
      <c r="G111" s="18"/>
      <c r="H111" s="18"/>
      <c r="I111" s="18"/>
      <c r="J111" s="18"/>
    </row>
    <row r="112" spans="1:23" ht="18">
      <c r="A112" s="18"/>
      <c r="B112" s="18"/>
      <c r="C112" s="19"/>
      <c r="D112" s="19"/>
      <c r="E112" s="19"/>
      <c r="F112" s="19"/>
      <c r="G112" s="18"/>
      <c r="H112" s="18"/>
      <c r="I112" s="18"/>
      <c r="J112" s="18"/>
    </row>
    <row r="113" spans="1:10" ht="21">
      <c r="A113" s="17" t="s">
        <v>172</v>
      </c>
      <c r="B113" s="17"/>
      <c r="C113" s="21"/>
      <c r="D113" s="19"/>
      <c r="E113" s="19"/>
      <c r="F113" s="19"/>
      <c r="G113" s="18"/>
      <c r="H113" s="18"/>
      <c r="I113" s="18"/>
      <c r="J113" s="18"/>
    </row>
    <row r="114" spans="1:10" ht="18">
      <c r="A114" s="18" t="s">
        <v>178</v>
      </c>
      <c r="B114" s="18"/>
      <c r="C114" s="19"/>
      <c r="D114" s="19">
        <f>$D$21/D103</f>
        <v>3.5657686212361333E-4</v>
      </c>
      <c r="E114" s="19"/>
      <c r="F114" s="19"/>
      <c r="G114" s="18" t="s">
        <v>106</v>
      </c>
      <c r="H114" s="18">
        <f>ROUND((2.457*LN(1/((7/D108)^0.9+(0.27*D114))))^16,3)</f>
        <v>4.0658031268825399E+21</v>
      </c>
      <c r="I114" s="18" t="s">
        <v>107</v>
      </c>
      <c r="J114" s="18">
        <f>(37530/D108)^16</f>
        <v>4.7479983443055185E-28</v>
      </c>
    </row>
    <row r="115" spans="1:10" ht="18">
      <c r="A115" s="18" t="s">
        <v>0</v>
      </c>
      <c r="B115" s="18"/>
      <c r="C115" s="19"/>
      <c r="D115" s="19">
        <f>ROUND(D114*1/3.7,5)</f>
        <v>1E-4</v>
      </c>
      <c r="E115" s="19"/>
      <c r="F115" s="19"/>
      <c r="G115" s="18"/>
      <c r="H115" s="18"/>
      <c r="I115" s="18"/>
      <c r="J115" s="18"/>
    </row>
    <row r="116" spans="1:10" ht="18">
      <c r="A116" s="18" t="s">
        <v>66</v>
      </c>
      <c r="B116" s="18"/>
      <c r="C116" s="19"/>
      <c r="D116" s="19">
        <f>ROUND((6.7/$D108)^0.9,5)</f>
        <v>1.0000000000000001E-5</v>
      </c>
      <c r="E116" s="19"/>
      <c r="F116" s="19"/>
      <c r="G116" s="18" t="s">
        <v>108</v>
      </c>
      <c r="H116" s="18"/>
      <c r="I116" s="18"/>
      <c r="J116" s="18">
        <f>ROUND(8*((8/D108)^12+(1/(H114+J114)^1.5))^(1/12),4)</f>
        <v>1.5900000000000001E-2</v>
      </c>
    </row>
    <row r="117" spans="1:10" ht="21">
      <c r="A117" s="18" t="s">
        <v>67</v>
      </c>
      <c r="B117" s="18"/>
      <c r="C117" s="19"/>
      <c r="D117" s="19">
        <f>ROUND(SUM(D115:D116),5)</f>
        <v>1.1E-4</v>
      </c>
      <c r="E117" s="19"/>
      <c r="F117" s="18"/>
      <c r="G117" s="18" t="s">
        <v>174</v>
      </c>
      <c r="H117" s="18"/>
      <c r="I117" s="18"/>
      <c r="J117" s="18">
        <f>J116/4</f>
        <v>3.9750000000000002E-3</v>
      </c>
    </row>
    <row r="118" spans="1:10" ht="18">
      <c r="A118" s="18" t="s">
        <v>68</v>
      </c>
      <c r="B118" s="18"/>
      <c r="C118" s="19"/>
      <c r="D118" s="19">
        <f>-4*LOG(D115-(5.02*LOG(D117)/D$108))</f>
        <v>15.828456445985372</v>
      </c>
      <c r="E118" s="19"/>
      <c r="F118" s="18"/>
      <c r="G118" s="18"/>
      <c r="H118" s="18"/>
      <c r="I118" s="18"/>
      <c r="J118" s="18"/>
    </row>
    <row r="119" spans="1:10" ht="18">
      <c r="A119" s="18" t="s">
        <v>65</v>
      </c>
      <c r="B119" s="18"/>
      <c r="C119" s="19"/>
      <c r="D119" s="19">
        <f>ROUND(1/(D118)^2,4)</f>
        <v>4.0000000000000001E-3</v>
      </c>
      <c r="E119" s="19"/>
      <c r="F119" s="18"/>
      <c r="G119" s="18"/>
      <c r="H119" s="18"/>
      <c r="I119" s="18"/>
      <c r="J119" s="18"/>
    </row>
    <row r="120" spans="1:10" ht="21">
      <c r="A120" s="18" t="s">
        <v>173</v>
      </c>
      <c r="B120" s="18"/>
      <c r="C120" s="19"/>
      <c r="D120" s="19">
        <f>4*D119</f>
        <v>1.6E-2</v>
      </c>
      <c r="E120" s="19"/>
      <c r="F120" s="18"/>
      <c r="G120" s="18"/>
      <c r="H120" s="18"/>
      <c r="I120" s="18"/>
      <c r="J120" s="18"/>
    </row>
  </sheetData>
  <phoneticPr fontId="0" type="noConversion"/>
  <pageMargins left="0.75" right="0.75" top="1" bottom="1" header="0.5" footer="0.5"/>
  <pageSetup paperSize="9" orientation="portrait" r:id="rId1"/>
  <headerFooter alignWithMargins="0"/>
  <legacyDrawing r:id="rId2"/>
  <oleObjects>
    <oleObject progId="Equation.DSMT4" shapeId="3115" r:id="rId3"/>
    <oleObject progId="Equation.DSMT4" shapeId="3116" r:id="rId4"/>
    <oleObject progId="Equation.DSMT4" shapeId="3117" r:id="rId5"/>
    <oleObject progId="Equation.DSMT4" shapeId="3118" r:id="rId6"/>
    <oleObject progId="Equation.DSMT4" shapeId="3120" r:id="rId7"/>
    <oleObject progId="Equation.DSMT4" shapeId="3121" r:id="rId8"/>
    <oleObject progId="Equation.DSMT4" shapeId="3122" r:id="rId9"/>
    <oleObject progId="Equation.DSMT4" shapeId="3123" r:id="rId10"/>
    <oleObject progId="Equation.DSMT4" shapeId="3124" r:id="rId11"/>
    <oleObject progId="Equation.DSMT4" shapeId="3125" r:id="rId12"/>
    <oleObject progId="Equation.DSMT4" shapeId="3126" r:id="rId13"/>
    <oleObject progId="Equation.DSMT4" shapeId="3127" r:id="rId14"/>
    <oleObject progId="Equation.DSMT4" shapeId="3128" r:id="rId15"/>
    <oleObject progId="Equation.DSMT4" shapeId="3129" r:id="rId16"/>
    <oleObject progId="Equation.DSMT4" shapeId="3130" r:id="rId17"/>
    <oleObject progId="Equation.DSMT4" shapeId="3131" r:id="rId18"/>
    <oleObject progId="Equation.DSMT4" shapeId="3132" r:id="rId19"/>
    <oleObject progId="Visio.Drawing.11" shapeId="3133" r:id="rId20"/>
    <oleObject progId="Equation.DSMT4" shapeId="3134" r:id="rId21"/>
    <oleObject progId="Equation.DSMT4" shapeId="3135" r:id="rId22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15-8-suction</vt:lpstr>
      <vt:lpstr>Example 15-8 -discharge</vt:lpstr>
      <vt:lpstr>Sheet3</vt:lpstr>
    </vt:vector>
  </TitlesOfParts>
  <Company>Acer 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2006-10-27T11:59:53Z</cp:lastPrinted>
  <dcterms:created xsi:type="dcterms:W3CDTF">2003-05-22T11:12:26Z</dcterms:created>
  <dcterms:modified xsi:type="dcterms:W3CDTF">2017-10-05T15:14:02Z</dcterms:modified>
</cp:coreProperties>
</file>